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belt\OneDrive\Escritorio\Excel_Basico_FuerzaAerea\"/>
    </mc:Choice>
  </mc:AlternateContent>
  <xr:revisionPtr revIDLastSave="0" documentId="13_ncr:1_{7BC48FA0-824C-456F-BDFC-ACFEE487A64C}" xr6:coauthVersionLast="47" xr6:coauthVersionMax="47" xr10:uidLastSave="{00000000-0000-0000-0000-000000000000}"/>
  <bookViews>
    <workbookView xWindow="-110" yWindow="-110" windowWidth="19420" windowHeight="10300" tabRatio="834" firstSheet="7" activeTab="14" xr2:uid="{395492D8-133E-48F2-BE0D-66AB2EACB90E}"/>
  </bookViews>
  <sheets>
    <sheet name="Contar Sumar Si. Conjunto" sheetId="29" r:id="rId1"/>
    <sheet name="Formato Funcion Si" sheetId="31" r:id="rId2"/>
    <sheet name="Ejercicios Si" sheetId="32" r:id="rId3"/>
    <sheet name="Ejercicios Si Referencias" sheetId="33" r:id="rId4"/>
    <sheet name="Param Ref." sheetId="34" r:id="rId5"/>
    <sheet name="Ejercicio Si Ref." sheetId="35" r:id="rId6"/>
    <sheet name="Ejercicio Si Ref. II" sheetId="36" r:id="rId7"/>
    <sheet name="Param Ref. II" sheetId="37" r:id="rId8"/>
    <sheet name="Tabla" sheetId="38" r:id="rId9"/>
    <sheet name="Filtro Avanzado" sheetId="39" r:id="rId10"/>
    <sheet name="Sub- Totales" sheetId="40" r:id="rId11"/>
    <sheet name="BuscarV" sheetId="41" r:id="rId12"/>
    <sheet name="BuscarH" sheetId="42" r:id="rId13"/>
    <sheet name="Matriz Transpuesta" sheetId="47" r:id="rId14"/>
    <sheet name="BuscarX" sheetId="43" r:id="rId15"/>
    <sheet name="Texto Columna" sheetId="44" r:id="rId16"/>
    <sheet name="Texto Mayus Minus" sheetId="45" r:id="rId17"/>
    <sheet name="Tabla Dinamica" sheetId="46" r:id="rId18"/>
  </sheets>
  <definedNames>
    <definedName name="_xlnm._FilterDatabase" localSheetId="9" hidden="1">'Filtro Avanzado'!$H$2:$H$14</definedName>
    <definedName name="_xlnm._FilterDatabase" localSheetId="8" hidden="1">Tabla!$B$2:$I$14</definedName>
    <definedName name="_xlnm.Extract" localSheetId="9">'Filtro Avanzado'!$K$2</definedName>
    <definedName name="_xlnm.Criteria" localSheetId="9">'Filtro Avanzado'!$H$2:$H$14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4" i="43" l="1" a="1"/>
  <c r="H4" i="43" s="1"/>
  <c r="C15" i="43" a="1"/>
  <c r="C15" i="43" s="1"/>
  <c r="C11" i="42"/>
  <c r="C10" i="42"/>
  <c r="C9" i="42"/>
  <c r="I7" i="41"/>
  <c r="I6" i="41"/>
  <c r="I5" i="41"/>
  <c r="I18" i="38"/>
  <c r="I17" i="38"/>
  <c r="I16" i="38"/>
  <c r="G2" i="36"/>
  <c r="H2" i="36" s="1"/>
  <c r="I2" i="36" s="1"/>
  <c r="I15" i="36" s="1"/>
  <c r="I3" i="36"/>
  <c r="I4" i="36"/>
  <c r="I5" i="36"/>
  <c r="I6" i="36"/>
  <c r="I7" i="36"/>
  <c r="I8" i="36"/>
  <c r="I9" i="36"/>
  <c r="I10" i="36"/>
  <c r="I11" i="36"/>
  <c r="I12" i="36"/>
  <c r="I13" i="36"/>
  <c r="H3" i="36"/>
  <c r="H4" i="36"/>
  <c r="H5" i="36"/>
  <c r="H6" i="36"/>
  <c r="H7" i="36"/>
  <c r="H8" i="36"/>
  <c r="H9" i="36"/>
  <c r="H10" i="36"/>
  <c r="H11" i="36"/>
  <c r="H12" i="36"/>
  <c r="H13" i="36"/>
  <c r="G3" i="36"/>
  <c r="G4" i="36"/>
  <c r="G5" i="36"/>
  <c r="G6" i="36"/>
  <c r="G7" i="36"/>
  <c r="G8" i="36"/>
  <c r="G9" i="36"/>
  <c r="G10" i="36"/>
  <c r="G11" i="36"/>
  <c r="G12" i="36"/>
  <c r="G13" i="36"/>
  <c r="F3" i="36"/>
  <c r="F4" i="36"/>
  <c r="F5" i="36"/>
  <c r="F6" i="36"/>
  <c r="F7" i="36"/>
  <c r="F8" i="36"/>
  <c r="F9" i="36"/>
  <c r="F10" i="36"/>
  <c r="F11" i="36"/>
  <c r="F12" i="36"/>
  <c r="F13" i="36"/>
  <c r="F2" i="36"/>
  <c r="F17" i="35"/>
  <c r="G17" i="35"/>
  <c r="H17" i="35"/>
  <c r="I17" i="35"/>
  <c r="E17" i="35"/>
  <c r="F4" i="35"/>
  <c r="G4" i="35" s="1"/>
  <c r="F5" i="35"/>
  <c r="G5" i="35"/>
  <c r="H5" i="35"/>
  <c r="I5" i="35"/>
  <c r="F6" i="35"/>
  <c r="G6" i="35"/>
  <c r="H6" i="35"/>
  <c r="I6" i="35"/>
  <c r="F7" i="35"/>
  <c r="G7" i="35"/>
  <c r="H7" i="35"/>
  <c r="I7" i="35"/>
  <c r="F8" i="35"/>
  <c r="G8" i="35"/>
  <c r="H8" i="35"/>
  <c r="I8" i="35"/>
  <c r="F9" i="35"/>
  <c r="G9" i="35"/>
  <c r="H9" i="35"/>
  <c r="I9" i="35"/>
  <c r="F10" i="35"/>
  <c r="G10" i="35"/>
  <c r="H10" i="35"/>
  <c r="I10" i="35"/>
  <c r="F11" i="35"/>
  <c r="G11" i="35"/>
  <c r="H11" i="35"/>
  <c r="I11" i="35"/>
  <c r="F12" i="35"/>
  <c r="G12" i="35"/>
  <c r="H12" i="35"/>
  <c r="I12" i="35"/>
  <c r="F13" i="35"/>
  <c r="G13" i="35"/>
  <c r="H13" i="35"/>
  <c r="I13" i="35"/>
  <c r="F14" i="35"/>
  <c r="G14" i="35"/>
  <c r="H14" i="35"/>
  <c r="I14" i="35"/>
  <c r="F15" i="35"/>
  <c r="G15" i="35"/>
  <c r="H15" i="35"/>
  <c r="I15" i="35"/>
  <c r="I3" i="35"/>
  <c r="H3" i="35"/>
  <c r="G3" i="35"/>
  <c r="F3" i="35"/>
  <c r="G3" i="33"/>
  <c r="F4" i="33"/>
  <c r="G4" i="33"/>
  <c r="F5" i="33"/>
  <c r="G5" i="33"/>
  <c r="F6" i="33"/>
  <c r="G6" i="33"/>
  <c r="F7" i="33"/>
  <c r="G7" i="33"/>
  <c r="F8" i="33"/>
  <c r="G8" i="33"/>
  <c r="F9" i="33"/>
  <c r="G9" i="33"/>
  <c r="F10" i="33"/>
  <c r="G10" i="33"/>
  <c r="F11" i="33"/>
  <c r="G11" i="33"/>
  <c r="F12" i="33"/>
  <c r="G12" i="33"/>
  <c r="F13" i="33"/>
  <c r="G13" i="33"/>
  <c r="F14" i="33"/>
  <c r="G14" i="33"/>
  <c r="F15" i="33"/>
  <c r="G15" i="33"/>
  <c r="F16" i="33"/>
  <c r="G16" i="33"/>
  <c r="F3" i="33"/>
  <c r="F12" i="32"/>
  <c r="F13" i="32"/>
  <c r="F14" i="32"/>
  <c r="F15" i="32"/>
  <c r="F11" i="32"/>
  <c r="E12" i="32"/>
  <c r="E13" i="32"/>
  <c r="E14" i="32"/>
  <c r="E15" i="32"/>
  <c r="E11" i="32"/>
  <c r="K4" i="32"/>
  <c r="K5" i="32"/>
  <c r="K6" i="32"/>
  <c r="K7" i="32"/>
  <c r="K3" i="32"/>
  <c r="E3" i="32"/>
  <c r="E4" i="32"/>
  <c r="E5" i="32"/>
  <c r="E6" i="32"/>
  <c r="E7" i="32"/>
  <c r="D13" i="31"/>
  <c r="D10" i="31"/>
  <c r="L3" i="29"/>
  <c r="K3" i="29"/>
  <c r="C20" i="29"/>
  <c r="C19" i="29"/>
  <c r="C18" i="29"/>
  <c r="E15" i="35"/>
  <c r="E14" i="35"/>
  <c r="E13" i="35"/>
  <c r="E12" i="35"/>
  <c r="E11" i="35"/>
  <c r="E10" i="35"/>
  <c r="E9" i="35"/>
  <c r="E8" i="35"/>
  <c r="E7" i="35"/>
  <c r="E6" i="35"/>
  <c r="E5" i="35"/>
  <c r="E4" i="35"/>
  <c r="E3" i="35"/>
  <c r="I9" i="41" l="1"/>
  <c r="I10" i="41" s="1"/>
  <c r="H4" i="35"/>
  <c r="I4" i="35"/>
  <c r="G4" i="29"/>
  <c r="G5" i="29"/>
  <c r="G6" i="29"/>
  <c r="G7" i="29"/>
  <c r="G8" i="29"/>
  <c r="G9" i="29"/>
  <c r="G10" i="29"/>
  <c r="G11" i="29"/>
  <c r="G12" i="29"/>
  <c r="G13" i="29"/>
  <c r="G14" i="29"/>
  <c r="G15" i="29"/>
  <c r="G16" i="29"/>
  <c r="G3" i="2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<sst xmlns="http://schemas.openxmlformats.org/spreadsheetml/2006/main" count="809" uniqueCount="177">
  <si>
    <t>Enero</t>
  </si>
  <si>
    <t>Febrero</t>
  </si>
  <si>
    <t>Total</t>
  </si>
  <si>
    <t>RUT</t>
  </si>
  <si>
    <t>NOMBRE</t>
  </si>
  <si>
    <t>03.903.946-K</t>
  </si>
  <si>
    <t>Castro Córdova Silvia</t>
  </si>
  <si>
    <t>Chávez González Elsa</t>
  </si>
  <si>
    <t>05.334.664-2</t>
  </si>
  <si>
    <t>Catalán Toro Armanda</t>
  </si>
  <si>
    <t>Vendedor</t>
  </si>
  <si>
    <t>Zona</t>
  </si>
  <si>
    <t>Norte</t>
  </si>
  <si>
    <t>Sur</t>
  </si>
  <si>
    <t>Centro</t>
  </si>
  <si>
    <t>Contreras Márquez Laura</t>
  </si>
  <si>
    <t>Acevedo Navarro José</t>
  </si>
  <si>
    <t>Calderón Galaz Jose</t>
  </si>
  <si>
    <t>Belmar Hormazábal Rodrigo</t>
  </si>
  <si>
    <t>Blanco Vera Washington</t>
  </si>
  <si>
    <t>Astudillo Pereira Verónica</t>
  </si>
  <si>
    <t>Alarcón Casanova Sergio</t>
  </si>
  <si>
    <t>Armijo Lizama Leonardo</t>
  </si>
  <si>
    <t>Dinara Lopez</t>
  </si>
  <si>
    <t>Elisa Mota</t>
  </si>
  <si>
    <t>Alicia Perez</t>
  </si>
  <si>
    <t>Agencia</t>
  </si>
  <si>
    <t>Arica</t>
  </si>
  <si>
    <t>Temuco</t>
  </si>
  <si>
    <t>Iquique</t>
  </si>
  <si>
    <t>Antofagasta</t>
  </si>
  <si>
    <t>Santiago</t>
  </si>
  <si>
    <t>Valdivia</t>
  </si>
  <si>
    <t>04.308.131-4</t>
  </si>
  <si>
    <t>PRUEBA LOGICA</t>
  </si>
  <si>
    <t>SEXO</t>
  </si>
  <si>
    <t>SEXO TEXTO</t>
  </si>
  <si>
    <t>PROMEDIO</t>
  </si>
  <si>
    <t>ESTADO</t>
  </si>
  <si>
    <t>F</t>
  </si>
  <si>
    <t>M</t>
  </si>
  <si>
    <t>05.512.105-2</t>
  </si>
  <si>
    <t>05.660.775-7</t>
  </si>
  <si>
    <t>Aranguiz Figueroa Carlos</t>
  </si>
  <si>
    <t>RENTA</t>
  </si>
  <si>
    <t>Factor Calculo</t>
  </si>
  <si>
    <t>RENTA  $</t>
  </si>
  <si>
    <t>FACTOR %</t>
  </si>
  <si>
    <t>Comisión $</t>
  </si>
  <si>
    <t>%</t>
  </si>
  <si>
    <t>N°</t>
  </si>
  <si>
    <t>NOMBRE PROFESIONAL</t>
  </si>
  <si>
    <t>BONO</t>
  </si>
  <si>
    <t>TOTAL</t>
  </si>
  <si>
    <t>IMPUESTO</t>
  </si>
  <si>
    <t>LIQUIDO</t>
  </si>
  <si>
    <t>05.057.894-1</t>
  </si>
  <si>
    <t>05.972.572-6</t>
  </si>
  <si>
    <t>Balmaceda Valenzuela Luis</t>
  </si>
  <si>
    <t>05.990.979-7</t>
  </si>
  <si>
    <t>Araya Garate Alicia</t>
  </si>
  <si>
    <t>06.091.597-0</t>
  </si>
  <si>
    <t>06.134.686-4</t>
  </si>
  <si>
    <t>Azócar Riffo Herminda</t>
  </si>
  <si>
    <t>06.235.162-4</t>
  </si>
  <si>
    <t>06.388.776-5</t>
  </si>
  <si>
    <t>06.434.788-8</t>
  </si>
  <si>
    <t>06.565.470-9</t>
  </si>
  <si>
    <t>Bacián Lavín Carlos</t>
  </si>
  <si>
    <t>06.597.566-1</t>
  </si>
  <si>
    <t>Aguilera Cabrera Ivan</t>
  </si>
  <si>
    <t>06.633.613-1</t>
  </si>
  <si>
    <t>Castro Vásquez Bernardo</t>
  </si>
  <si>
    <t>TOTAL  RENTA  $</t>
  </si>
  <si>
    <t>COD.</t>
  </si>
  <si>
    <t>PRODUCTO</t>
  </si>
  <si>
    <t>CATEGORÍA</t>
  </si>
  <si>
    <t>CANTIDAD</t>
  </si>
  <si>
    <t>PRECIO US$</t>
  </si>
  <si>
    <t>PRECIO $</t>
  </si>
  <si>
    <t>DESCUENTO</t>
  </si>
  <si>
    <t>PRECIO  $</t>
  </si>
  <si>
    <t>TÉ DHARAMSALA</t>
  </si>
  <si>
    <t>BEBIDAS</t>
  </si>
  <si>
    <t>CERVEZA TIBETANA BARLEY</t>
  </si>
  <si>
    <t>SIROPE DE REGALIZ</t>
  </si>
  <si>
    <t>CONDIMENTOS</t>
  </si>
  <si>
    <t>ESPECIAS CAJUN DEL CHEF ANTON</t>
  </si>
  <si>
    <t>SALSA DE ARÁNDANOS</t>
  </si>
  <si>
    <t>BUEY MISHI KOBE</t>
  </si>
  <si>
    <t>CARNES</t>
  </si>
  <si>
    <t>QUESO MANCHEGO LA PASTORA</t>
  </si>
  <si>
    <t>LACTEOS</t>
  </si>
  <si>
    <t>ALGAS KONBU</t>
  </si>
  <si>
    <t>PESCADO/MARISCO</t>
  </si>
  <si>
    <t>CUAJADA DE JUDÍAS</t>
  </si>
  <si>
    <t>FRUTAS/VERDURAS</t>
  </si>
  <si>
    <t>SALSA DE SOJA BAJA EN SODIO</t>
  </si>
  <si>
    <t>PRODUCTO NUEVO</t>
  </si>
  <si>
    <t>PRODUCTO NUEVO DOS</t>
  </si>
  <si>
    <t>Total $</t>
  </si>
  <si>
    <t>VALOR DÓLAR   $</t>
  </si>
  <si>
    <t>AFP</t>
  </si>
  <si>
    <t>SALUD</t>
  </si>
  <si>
    <t>NIVEL EDUC.</t>
  </si>
  <si>
    <t>C.COSTO</t>
  </si>
  <si>
    <t>DEPTO.</t>
  </si>
  <si>
    <t>07.411.669-8</t>
  </si>
  <si>
    <t>Carvajal Toro Marcos</t>
  </si>
  <si>
    <t>CUPRUM</t>
  </si>
  <si>
    <t>Banmédica</t>
  </si>
  <si>
    <t>TECNICO</t>
  </si>
  <si>
    <t>FINANZAS</t>
  </si>
  <si>
    <t>CAPACITACION</t>
  </si>
  <si>
    <t>Normédica</t>
  </si>
  <si>
    <t>VENTAS</t>
  </si>
  <si>
    <t>CONTABILIDAD</t>
  </si>
  <si>
    <t>CAPITAL</t>
  </si>
  <si>
    <t>Consalud</t>
  </si>
  <si>
    <t>RR.HH</t>
  </si>
  <si>
    <t>07.465.885-7</t>
  </si>
  <si>
    <t>Campos Carrasco Isabel</t>
  </si>
  <si>
    <t>Promepart</t>
  </si>
  <si>
    <t>MARKETING</t>
  </si>
  <si>
    <t>Más Vida</t>
  </si>
  <si>
    <t>PERSONAL</t>
  </si>
  <si>
    <t>05.338.084-0</t>
  </si>
  <si>
    <t>Berríos Castro Armando</t>
  </si>
  <si>
    <t>Vida Plena</t>
  </si>
  <si>
    <t>Fonasa</t>
  </si>
  <si>
    <t>REMUNERACIONES</t>
  </si>
  <si>
    <t>07.526.244-2</t>
  </si>
  <si>
    <t>Cantillana Pavez Raul</t>
  </si>
  <si>
    <t>Tres Vida</t>
  </si>
  <si>
    <t>PROFESIONAL</t>
  </si>
  <si>
    <t>05.299.873-5</t>
  </si>
  <si>
    <t>Aranguiz Figueroa Emilio</t>
  </si>
  <si>
    <t>ID empleado</t>
  </si>
  <si>
    <t>Nombre</t>
  </si>
  <si>
    <t>Jeronimo Burgos</t>
  </si>
  <si>
    <t>Estefania Villegas</t>
  </si>
  <si>
    <t>Guillermo Fernandez</t>
  </si>
  <si>
    <t>Eliana Ramirez</t>
  </si>
  <si>
    <t>Paula Palacio</t>
  </si>
  <si>
    <t>Jesus Bermudez</t>
  </si>
  <si>
    <t>Roberta Toledo</t>
  </si>
  <si>
    <t>Karina Jimenez</t>
  </si>
  <si>
    <t>Julieth Osorio</t>
  </si>
  <si>
    <t>Lina Villamizar</t>
  </si>
  <si>
    <t>Poniente</t>
  </si>
  <si>
    <t>Oriente</t>
  </si>
  <si>
    <t>Venta</t>
  </si>
  <si>
    <t>MAYUSCULAS</t>
  </si>
  <si>
    <t>MINUSCULAS</t>
  </si>
  <si>
    <t>NOMBRE PROPIO</t>
  </si>
  <si>
    <t>Repaso Contar.Si</t>
  </si>
  <si>
    <t>Sumar.Si Total Enero</t>
  </si>
  <si>
    <t>Promedio.Si</t>
  </si>
  <si>
    <t>TOTAL  $</t>
  </si>
  <si>
    <t>Función SI</t>
  </si>
  <si>
    <t>Sobre 50% Aprobación</t>
  </si>
  <si>
    <t>Proyecto</t>
  </si>
  <si>
    <t>Evaluación</t>
  </si>
  <si>
    <t>Factibilidad</t>
  </si>
  <si>
    <t>AA1</t>
  </si>
  <si>
    <t>Total Unid.</t>
  </si>
  <si>
    <t>A Dibidir por</t>
  </si>
  <si>
    <t>Resultado</t>
  </si>
  <si>
    <t>BODEGA  $</t>
  </si>
  <si>
    <t>Total Dato Filtrado $</t>
  </si>
  <si>
    <t>TOTAL GENERAL     $</t>
  </si>
  <si>
    <t>N° Registros</t>
  </si>
  <si>
    <t>&gt;=600000</t>
  </si>
  <si>
    <t>&lt;=700000</t>
  </si>
  <si>
    <t>Ca*</t>
  </si>
  <si>
    <t>Impuesto 13,5%</t>
  </si>
  <si>
    <t>Alcance Liquiqdo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</si>
</sst>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;[Red]&quot;$&quot;\-#,##0"/>
    <numFmt numFmtId="8" formatCode="&quot;$&quot;#,##0.00;[Red]&quot;$&quot;\-#,##0.00"/>
    <numFmt numFmtId="42" formatCode="_ &quot;$&quot;* #,##0_ ;_ &quot;$&quot;* \-#,##0_ ;_ &quot;$&quot;* &quot;-&quot;_ ;_ @_ "/>
    <numFmt numFmtId="41" formatCode="_ * #,##0_ ;_ * \-#,##0_ ;_ * &quot;-&quot;_ ;_ @_ "/>
    <numFmt numFmtId="43" formatCode="_ * #,##0.00_ ;_ * \-#,##0.00_ ;_ * &quot;-&quot;??_ ;_ @_ "/>
    <numFmt numFmtId="164" formatCode="0.0"/>
    <numFmt numFmtId="165" formatCode="#,##0_ ;\-#,##0\ "/>
    <numFmt numFmtId="166" formatCode="0.0%"/>
    <numFmt numFmtId="167" formatCode="#,##0;[Red]#,##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name val="MS Sans Serif"/>
      <family val="2"/>
    </font>
    <font>
      <sz val="10"/>
      <name val="MS Sans Serif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24"/>
      </patternFill>
    </fill>
    <fill>
      <patternFill patternType="solid">
        <fgColor theme="9" tint="0.59999389629810485"/>
        <bgColor indexed="2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2" fillId="0" borderId="0"/>
    <xf numFmtId="0" fontId="5" fillId="0" borderId="0" applyNumberFormat="0" applyFill="0" applyBorder="0" applyAlignment="0" applyProtection="0"/>
    <xf numFmtId="0" fontId="6" fillId="0" borderId="0"/>
    <xf numFmtId="8" fontId="6" fillId="0" borderId="0" applyFont="0" applyFill="0" applyBorder="0" applyAlignment="0" applyProtection="0"/>
  </cellStyleXfs>
  <cellXfs count="7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1" xfId="0" applyBorder="1"/>
    <xf numFmtId="0" fontId="0" fillId="0" borderId="2" xfId="0" applyBorder="1" applyAlignment="1">
      <alignment horizontal="center"/>
    </xf>
    <xf numFmtId="3" fontId="0" fillId="0" borderId="3" xfId="0" applyNumberFormat="1" applyBorder="1"/>
    <xf numFmtId="164" fontId="0" fillId="0" borderId="0" xfId="0" applyNumberFormat="1" applyAlignment="1">
      <alignment horizontal="center"/>
    </xf>
    <xf numFmtId="3" fontId="0" fillId="0" borderId="0" xfId="0" applyNumberFormat="1"/>
    <xf numFmtId="164" fontId="0" fillId="0" borderId="1" xfId="0" applyNumberFormat="1" applyBorder="1" applyAlignment="1">
      <alignment horizontal="center"/>
    </xf>
    <xf numFmtId="3" fontId="0" fillId="0" borderId="1" xfId="0" applyNumberFormat="1" applyBorder="1"/>
    <xf numFmtId="10" fontId="0" fillId="0" borderId="2" xfId="0" applyNumberFormat="1" applyBorder="1"/>
    <xf numFmtId="0" fontId="0" fillId="2" borderId="4" xfId="0" applyFill="1" applyBorder="1" applyAlignment="1">
      <alignment horizontal="center"/>
    </xf>
    <xf numFmtId="0" fontId="0" fillId="3" borderId="4" xfId="0" applyFill="1" applyBorder="1"/>
    <xf numFmtId="0" fontId="0" fillId="3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3" fontId="0" fillId="0" borderId="13" xfId="0" applyNumberFormat="1" applyBorder="1"/>
    <xf numFmtId="3" fontId="0" fillId="0" borderId="11" xfId="0" applyNumberFormat="1" applyBorder="1"/>
    <xf numFmtId="0" fontId="0" fillId="2" borderId="2" xfId="0" applyFill="1" applyBorder="1" applyAlignment="1">
      <alignment horizontal="center"/>
    </xf>
    <xf numFmtId="165" fontId="0" fillId="0" borderId="2" xfId="2" applyNumberFormat="1" applyFont="1" applyBorder="1"/>
    <xf numFmtId="166" fontId="0" fillId="0" borderId="2" xfId="0" applyNumberFormat="1" applyBorder="1"/>
    <xf numFmtId="166" fontId="0" fillId="0" borderId="2" xfId="2" applyNumberFormat="1" applyFont="1" applyBorder="1"/>
    <xf numFmtId="0" fontId="0" fillId="3" borderId="2" xfId="0" applyFill="1" applyBorder="1" applyAlignment="1">
      <alignment horizontal="center"/>
    </xf>
    <xf numFmtId="0" fontId="0" fillId="4" borderId="4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4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3" fontId="0" fillId="0" borderId="2" xfId="0" applyNumberFormat="1" applyBorder="1"/>
    <xf numFmtId="3" fontId="0" fillId="0" borderId="14" xfId="0" applyNumberFormat="1" applyBorder="1"/>
    <xf numFmtId="0" fontId="3" fillId="2" borderId="1" xfId="5" applyFont="1" applyFill="1" applyBorder="1" applyAlignment="1">
      <alignment horizontal="center" vertical="center"/>
    </xf>
    <xf numFmtId="0" fontId="3" fillId="2" borderId="1" xfId="5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5" applyFont="1" applyFill="1" applyBorder="1" applyAlignment="1">
      <alignment horizontal="center" vertical="center" wrapText="1"/>
    </xf>
    <xf numFmtId="0" fontId="3" fillId="0" borderId="0" xfId="5" applyFont="1" applyAlignment="1">
      <alignment horizontal="center"/>
    </xf>
    <xf numFmtId="0" fontId="3" fillId="0" borderId="0" xfId="5" applyFont="1" applyAlignment="1">
      <alignment horizontal="left"/>
    </xf>
    <xf numFmtId="2" fontId="3" fillId="0" borderId="0" xfId="5" applyNumberFormat="1" applyFont="1" applyAlignment="1">
      <alignment horizontal="right"/>
    </xf>
    <xf numFmtId="165" fontId="0" fillId="0" borderId="0" xfId="4" applyNumberFormat="1" applyFont="1"/>
    <xf numFmtId="0" fontId="3" fillId="0" borderId="1" xfId="5" applyFont="1" applyBorder="1" applyAlignment="1">
      <alignment horizontal="left"/>
    </xf>
    <xf numFmtId="2" fontId="3" fillId="0" borderId="1" xfId="5" applyNumberFormat="1" applyFont="1" applyBorder="1" applyAlignment="1">
      <alignment horizontal="right"/>
    </xf>
    <xf numFmtId="165" fontId="0" fillId="0" borderId="1" xfId="4" applyNumberFormat="1" applyFont="1" applyBorder="1"/>
    <xf numFmtId="0" fontId="0" fillId="0" borderId="14" xfId="0" applyBorder="1"/>
    <xf numFmtId="41" fontId="0" fillId="0" borderId="14" xfId="3" applyFont="1" applyBorder="1"/>
    <xf numFmtId="0" fontId="3" fillId="2" borderId="2" xfId="5" applyFont="1" applyFill="1" applyBorder="1" applyAlignment="1">
      <alignment horizontal="center" vertical="center"/>
    </xf>
    <xf numFmtId="4" fontId="0" fillId="0" borderId="2" xfId="0" applyNumberFormat="1" applyBorder="1"/>
    <xf numFmtId="0" fontId="4" fillId="5" borderId="1" xfId="6" applyFont="1" applyFill="1" applyBorder="1" applyAlignment="1">
      <alignment horizontal="center"/>
    </xf>
    <xf numFmtId="0" fontId="4" fillId="6" borderId="15" xfId="6" applyFont="1" applyFill="1" applyBorder="1" applyAlignment="1">
      <alignment horizontal="left"/>
    </xf>
    <xf numFmtId="0" fontId="4" fillId="0" borderId="2" xfId="7" applyFont="1" applyBorder="1" applyAlignment="1">
      <alignment horizontal="center"/>
    </xf>
    <xf numFmtId="0" fontId="4" fillId="0" borderId="2" xfId="7" applyFont="1" applyBorder="1" applyAlignment="1">
      <alignment horizontal="left"/>
    </xf>
    <xf numFmtId="0" fontId="4" fillId="0" borderId="2" xfId="7" applyFont="1" applyBorder="1"/>
    <xf numFmtId="6" fontId="4" fillId="6" borderId="15" xfId="8" applyNumberFormat="1" applyFont="1" applyFill="1" applyBorder="1" applyAlignment="1">
      <alignment horizontal="left"/>
    </xf>
    <xf numFmtId="167" fontId="4" fillId="0" borderId="2" xfId="8" applyNumberFormat="1" applyFont="1" applyBorder="1"/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0" xfId="3" applyFont="1"/>
    <xf numFmtId="0" fontId="0" fillId="7" borderId="1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/>
    <xf numFmtId="9" fontId="0" fillId="0" borderId="0" xfId="0" applyNumberFormat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3" fontId="0" fillId="0" borderId="0" xfId="0" applyNumberFormat="1" applyBorder="1"/>
    <xf numFmtId="0" fontId="0" fillId="0" borderId="16" xfId="0" applyFill="1" applyBorder="1"/>
    <xf numFmtId="0" fontId="0" fillId="0" borderId="16" xfId="0" applyBorder="1" applyAlignment="1">
      <alignment horizontal="center"/>
    </xf>
    <xf numFmtId="0" fontId="4" fillId="5" borderId="1" xfId="6" applyFont="1" applyFill="1" applyBorder="1" applyAlignment="1">
      <alignment horizontal="left"/>
    </xf>
    <xf numFmtId="0" fontId="0" fillId="0" borderId="0" xfId="0" applyAlignment="1">
      <alignment horizontal="left"/>
    </xf>
    <xf numFmtId="0" fontId="4" fillId="5" borderId="0" xfId="6" applyFont="1" applyFill="1" applyBorder="1" applyAlignment="1">
      <alignment horizontal="left"/>
    </xf>
  </cellXfs>
  <cellStyles count="9">
    <cellStyle name="Heading" xfId="6" xr:uid="{EA17CB6C-7DE4-4EF1-A2D5-1C27DAB5977A}"/>
    <cellStyle name="Millares [0]" xfId="3" builtinId="6"/>
    <cellStyle name="Millares [0] 6" xfId="2" xr:uid="{4135A866-4873-4997-8010-CE0AD97796C2}"/>
    <cellStyle name="Millares 2" xfId="1" xr:uid="{78DCB04D-544B-48A6-B605-00BA525C6838}"/>
    <cellStyle name="Moneda [0]" xfId="4" builtinId="7"/>
    <cellStyle name="Moneda_Relacion de personal (base) 2" xfId="8" xr:uid="{455D90F4-5B99-4B6B-8225-A48F4D6B09A1}"/>
    <cellStyle name="Normal" xfId="0" builtinId="0"/>
    <cellStyle name="Normal_Hoja1" xfId="5" xr:uid="{9BF85CD1-DE67-4FCA-B222-171445CBD360}"/>
    <cellStyle name="Normal_Relacion de personal (base)" xfId="7" xr:uid="{53C02CD1-8BFE-4464-8B2B-32C5BE9927E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120650</xdr:colOff>
      <xdr:row>2</xdr:row>
      <xdr:rowOff>76200</xdr:rowOff>
    </xdr:from>
    <xdr:to>
      <xdr:col>5</xdr:col>
      <xdr:colOff>469900</xdr:colOff>
      <xdr:row>3</xdr:row>
      <xdr:rowOff>95250</xdr:rowOff>
    </xdr:to>
    <xdr:cxnSp macro="">
      <xdr:nvCxnSpPr>
        <xdr:cNvPr id="2" name="Conector recto de flecha 1">
          <a:extLst>
            <a:ext uri="{FF2B5EF4-FFF2-40B4-BE49-F238E27FC236}">
              <a16:creationId xmlns:a16="http://schemas.microsoft.com/office/drawing/2014/main" id="{61B3CB02-EF0E-4E54-B499-FB7660169289}"/>
            </a:ext>
          </a:extLst>
        </xdr:cNvPr>
        <xdr:cNvCxnSpPr/>
      </xdr:nvCxnSpPr>
      <xdr:spPr>
        <a:xfrm flipV="1">
          <a:off x="3511550" y="444500"/>
          <a:ext cx="1212850" cy="2032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133350</xdr:colOff>
      <xdr:row>4</xdr:row>
      <xdr:rowOff>19050</xdr:rowOff>
    </xdr:from>
    <xdr:to>
      <xdr:col>5</xdr:col>
      <xdr:colOff>508000</xdr:colOff>
      <xdr:row>4</xdr:row>
      <xdr:rowOff>152400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87168833-1A7D-41F6-9982-4ADABBE57676}"/>
            </a:ext>
          </a:extLst>
        </xdr:cNvPr>
        <xdr:cNvCxnSpPr/>
      </xdr:nvCxnSpPr>
      <xdr:spPr>
        <a:xfrm>
          <a:off x="3524250" y="755650"/>
          <a:ext cx="1238250" cy="133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49373-3988-490D-ABE1-050365A27E1B}">
  <dimension ref="B2:L21"/>
  <sheetViews>
    <sheetView workbookViewId="0">
      <selection activeCell="J3" sqref="J3"/>
    </sheetView>
  </sheetViews>
  <sheetFormatPr baseColWidth="10" defaultRowHeight="14.5" x14ac:dyDescent="0.35"/>
  <cols>
    <col min="1" max="1" width="4.90625" customWidth="1"/>
    <col min="2" max="2" width="27.36328125" customWidth="1"/>
    <col min="8" max="8" width="6.90625" customWidth="1"/>
    <col min="10" max="10" width="14" customWidth="1"/>
  </cols>
  <sheetData>
    <row r="2" spans="2:12" x14ac:dyDescent="0.35">
      <c r="B2" s="13" t="s">
        <v>10</v>
      </c>
      <c r="C2" s="14" t="s">
        <v>11</v>
      </c>
      <c r="D2" s="14" t="s">
        <v>26</v>
      </c>
      <c r="E2" s="14" t="s">
        <v>0</v>
      </c>
      <c r="F2" s="14" t="s">
        <v>1</v>
      </c>
      <c r="G2" s="14" t="s">
        <v>2</v>
      </c>
      <c r="I2" s="14" t="s">
        <v>11</v>
      </c>
      <c r="J2" s="14" t="s">
        <v>26</v>
      </c>
      <c r="K2" s="14" t="s">
        <v>50</v>
      </c>
      <c r="L2" s="14" t="s">
        <v>158</v>
      </c>
    </row>
    <row r="3" spans="2:12" x14ac:dyDescent="0.35">
      <c r="B3" t="s">
        <v>7</v>
      </c>
      <c r="C3" t="s">
        <v>12</v>
      </c>
      <c r="D3" t="s">
        <v>27</v>
      </c>
      <c r="E3" s="8">
        <v>4108792</v>
      </c>
      <c r="F3" s="8">
        <v>3761993</v>
      </c>
      <c r="G3" s="8">
        <f>SUM(E3:F3)</f>
        <v>7870785</v>
      </c>
      <c r="I3" t="s">
        <v>12</v>
      </c>
      <c r="J3" t="s">
        <v>30</v>
      </c>
      <c r="K3" s="1">
        <f>COUNTIFS(C3:C16,I3,D3:D16,J3)</f>
        <v>2</v>
      </c>
      <c r="L3" s="62">
        <f>SUMIFS(G3:G16,C3:C16,I3,D3:D16,J3)</f>
        <v>22480991</v>
      </c>
    </row>
    <row r="4" spans="2:12" x14ac:dyDescent="0.35">
      <c r="B4" t="s">
        <v>9</v>
      </c>
      <c r="C4" t="s">
        <v>13</v>
      </c>
      <c r="D4" t="s">
        <v>28</v>
      </c>
      <c r="E4" s="8">
        <v>2826258</v>
      </c>
      <c r="F4" s="8">
        <v>5452833</v>
      </c>
      <c r="G4" s="8">
        <f t="shared" ref="G4:G16" si="0">SUM(E4:F4)</f>
        <v>8279091</v>
      </c>
    </row>
    <row r="5" spans="2:12" x14ac:dyDescent="0.35">
      <c r="B5" t="s">
        <v>15</v>
      </c>
      <c r="C5" t="s">
        <v>12</v>
      </c>
      <c r="D5" t="s">
        <v>29</v>
      </c>
      <c r="E5" s="8">
        <v>7407818</v>
      </c>
      <c r="F5" s="8">
        <v>3157745</v>
      </c>
      <c r="G5" s="8">
        <f t="shared" si="0"/>
        <v>10565563</v>
      </c>
    </row>
    <row r="6" spans="2:12" x14ac:dyDescent="0.35">
      <c r="B6" t="s">
        <v>16</v>
      </c>
      <c r="C6" t="s">
        <v>12</v>
      </c>
      <c r="D6" t="s">
        <v>30</v>
      </c>
      <c r="E6" s="8">
        <v>4358000</v>
      </c>
      <c r="F6" s="8">
        <v>8426000</v>
      </c>
      <c r="G6" s="8">
        <f t="shared" si="0"/>
        <v>12784000</v>
      </c>
    </row>
    <row r="7" spans="2:12" x14ac:dyDescent="0.35">
      <c r="B7" t="s">
        <v>17</v>
      </c>
      <c r="C7" t="s">
        <v>13</v>
      </c>
      <c r="D7" t="s">
        <v>28</v>
      </c>
      <c r="E7" s="8">
        <v>1130677</v>
      </c>
      <c r="F7" s="8">
        <v>5067890</v>
      </c>
      <c r="G7" s="8">
        <f t="shared" si="0"/>
        <v>6198567</v>
      </c>
    </row>
    <row r="8" spans="2:12" x14ac:dyDescent="0.35">
      <c r="B8" t="s">
        <v>18</v>
      </c>
      <c r="C8" t="s">
        <v>12</v>
      </c>
      <c r="D8" t="s">
        <v>29</v>
      </c>
      <c r="E8" s="8">
        <v>6906087</v>
      </c>
      <c r="F8" s="8">
        <v>3885627</v>
      </c>
      <c r="G8" s="8">
        <f t="shared" si="0"/>
        <v>10791714</v>
      </c>
    </row>
    <row r="9" spans="2:12" x14ac:dyDescent="0.35">
      <c r="B9" t="s">
        <v>19</v>
      </c>
      <c r="C9" t="s">
        <v>14</v>
      </c>
      <c r="D9" t="s">
        <v>31</v>
      </c>
      <c r="E9" s="8">
        <v>1990275</v>
      </c>
      <c r="F9" s="8">
        <v>1632192</v>
      </c>
      <c r="G9" s="8">
        <f t="shared" si="0"/>
        <v>3622467</v>
      </c>
    </row>
    <row r="10" spans="2:12" x14ac:dyDescent="0.35">
      <c r="B10" t="s">
        <v>6</v>
      </c>
      <c r="C10" t="s">
        <v>12</v>
      </c>
      <c r="D10" t="s">
        <v>27</v>
      </c>
      <c r="E10" s="8">
        <v>2345876</v>
      </c>
      <c r="F10" s="8">
        <v>5762571</v>
      </c>
      <c r="G10" s="8">
        <f t="shared" si="0"/>
        <v>8108447</v>
      </c>
    </row>
    <row r="11" spans="2:12" x14ac:dyDescent="0.35">
      <c r="B11" t="s">
        <v>20</v>
      </c>
      <c r="C11" t="s">
        <v>13</v>
      </c>
      <c r="D11" t="s">
        <v>28</v>
      </c>
      <c r="E11" s="8">
        <v>4297000</v>
      </c>
      <c r="F11" s="8">
        <v>10052000</v>
      </c>
      <c r="G11" s="8">
        <f t="shared" si="0"/>
        <v>14349000</v>
      </c>
    </row>
    <row r="12" spans="2:12" x14ac:dyDescent="0.35">
      <c r="B12" t="s">
        <v>21</v>
      </c>
      <c r="C12" t="s">
        <v>14</v>
      </c>
      <c r="D12" t="s">
        <v>31</v>
      </c>
      <c r="E12" s="8">
        <v>5000000</v>
      </c>
      <c r="F12" s="8">
        <v>4470000</v>
      </c>
      <c r="G12" s="8">
        <f t="shared" si="0"/>
        <v>9470000</v>
      </c>
    </row>
    <row r="13" spans="2:12" x14ac:dyDescent="0.35">
      <c r="B13" t="s">
        <v>22</v>
      </c>
      <c r="C13" t="s">
        <v>12</v>
      </c>
      <c r="D13" t="s">
        <v>27</v>
      </c>
      <c r="E13" s="8">
        <v>8731335</v>
      </c>
      <c r="F13" s="8">
        <v>2453000</v>
      </c>
      <c r="G13" s="8">
        <f t="shared" si="0"/>
        <v>11184335</v>
      </c>
    </row>
    <row r="14" spans="2:12" x14ac:dyDescent="0.35">
      <c r="B14" t="s">
        <v>23</v>
      </c>
      <c r="C14" t="s">
        <v>14</v>
      </c>
      <c r="D14" t="s">
        <v>31</v>
      </c>
      <c r="E14" s="8">
        <v>5877136</v>
      </c>
      <c r="F14" s="8">
        <v>4488758</v>
      </c>
      <c r="G14" s="8">
        <f t="shared" si="0"/>
        <v>10365894</v>
      </c>
    </row>
    <row r="15" spans="2:12" x14ac:dyDescent="0.35">
      <c r="B15" t="s">
        <v>24</v>
      </c>
      <c r="C15" t="s">
        <v>12</v>
      </c>
      <c r="D15" t="s">
        <v>30</v>
      </c>
      <c r="E15" s="8">
        <v>1544000</v>
      </c>
      <c r="F15" s="8">
        <v>8152991</v>
      </c>
      <c r="G15" s="8">
        <f t="shared" si="0"/>
        <v>9696991</v>
      </c>
    </row>
    <row r="16" spans="2:12" x14ac:dyDescent="0.35">
      <c r="B16" s="4" t="s">
        <v>25</v>
      </c>
      <c r="C16" s="4" t="s">
        <v>13</v>
      </c>
      <c r="D16" s="4" t="s">
        <v>32</v>
      </c>
      <c r="E16" s="10">
        <v>1557269</v>
      </c>
      <c r="F16" s="10">
        <v>7749360</v>
      </c>
      <c r="G16" s="10">
        <f t="shared" si="0"/>
        <v>9306629</v>
      </c>
    </row>
    <row r="18" spans="2:3" x14ac:dyDescent="0.35">
      <c r="B18" t="s">
        <v>155</v>
      </c>
      <c r="C18">
        <f>COUNTIF(C3:C16,"Norte")</f>
        <v>7</v>
      </c>
    </row>
    <row r="19" spans="2:3" ht="15" thickBot="1" x14ac:dyDescent="0.4">
      <c r="B19" t="s">
        <v>156</v>
      </c>
      <c r="C19" s="33">
        <f>SUMIF(C3:C16,"Norte",E3:E16)</f>
        <v>35401908</v>
      </c>
    </row>
    <row r="20" spans="2:3" ht="15.5" thickTop="1" thickBot="1" x14ac:dyDescent="0.4">
      <c r="B20" t="s">
        <v>157</v>
      </c>
      <c r="C20" s="33">
        <f>AVERAGEIF(C3:C16,"Norte",E3:E16)</f>
        <v>5057415.4285714282</v>
      </c>
    </row>
    <row r="21" spans="2:3" ht="15" thickTop="1" x14ac:dyDescent="0.35"/>
  </sheetData>
  <dataValidations count="2">
    <dataValidation type="list" allowBlank="1" showInputMessage="1" showErrorMessage="1" sqref="I3" xr:uid="{0C11417A-1F84-4A3E-93D8-198A33EAE306}">
      <formula1>$C$3:$C$16</formula1>
    </dataValidation>
    <dataValidation type="list" allowBlank="1" showInputMessage="1" showErrorMessage="1" sqref="J3" xr:uid="{5D7FD887-A8DA-480A-9D2F-C504D9AB43FD}">
      <formula1>$D$3:$D$16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A93DB-B1AE-47EF-8249-26873061CE39}">
  <dimension ref="B2:K24"/>
  <sheetViews>
    <sheetView workbookViewId="0">
      <selection activeCell="H17" sqref="H17"/>
    </sheetView>
  </sheetViews>
  <sheetFormatPr baseColWidth="10" defaultRowHeight="14.5" x14ac:dyDescent="0.35"/>
  <cols>
    <col min="2" max="2" width="13.90625" customWidth="1"/>
    <col min="3" max="3" width="24.36328125" bestFit="1" customWidth="1"/>
    <col min="6" max="6" width="14.54296875" customWidth="1"/>
    <col min="8" max="8" width="18.90625" customWidth="1"/>
    <col min="11" max="11" width="17.7265625" customWidth="1"/>
  </cols>
  <sheetData>
    <row r="2" spans="2:11" x14ac:dyDescent="0.35">
      <c r="B2" s="49" t="s">
        <v>3</v>
      </c>
      <c r="C2" s="49" t="s">
        <v>4</v>
      </c>
      <c r="D2" s="49" t="s">
        <v>102</v>
      </c>
      <c r="E2" s="49" t="s">
        <v>103</v>
      </c>
      <c r="F2" s="49" t="s">
        <v>104</v>
      </c>
      <c r="G2" s="49" t="s">
        <v>105</v>
      </c>
      <c r="H2" s="49" t="s">
        <v>106</v>
      </c>
      <c r="I2" s="49" t="s">
        <v>44</v>
      </c>
      <c r="K2" s="49" t="s">
        <v>106</v>
      </c>
    </row>
    <row r="3" spans="2:11" x14ac:dyDescent="0.35">
      <c r="B3" s="1" t="s">
        <v>107</v>
      </c>
      <c r="C3" t="s">
        <v>108</v>
      </c>
      <c r="D3" t="s">
        <v>109</v>
      </c>
      <c r="E3" t="s">
        <v>110</v>
      </c>
      <c r="F3" t="s">
        <v>111</v>
      </c>
      <c r="G3" t="s">
        <v>112</v>
      </c>
      <c r="H3" t="s">
        <v>113</v>
      </c>
      <c r="I3" s="8">
        <v>830000</v>
      </c>
      <c r="K3" t="s">
        <v>113</v>
      </c>
    </row>
    <row r="4" spans="2:11" x14ac:dyDescent="0.35">
      <c r="B4" s="1" t="s">
        <v>5</v>
      </c>
      <c r="C4" t="s">
        <v>6</v>
      </c>
      <c r="D4" t="s">
        <v>109</v>
      </c>
      <c r="E4" t="s">
        <v>114</v>
      </c>
      <c r="F4" t="s">
        <v>111</v>
      </c>
      <c r="G4" t="s">
        <v>115</v>
      </c>
      <c r="H4" t="s">
        <v>116</v>
      </c>
      <c r="I4" s="8">
        <v>660000</v>
      </c>
      <c r="K4" t="s">
        <v>116</v>
      </c>
    </row>
    <row r="5" spans="2:11" x14ac:dyDescent="0.35">
      <c r="B5" s="1" t="s">
        <v>8</v>
      </c>
      <c r="C5" t="s">
        <v>9</v>
      </c>
      <c r="D5" t="s">
        <v>117</v>
      </c>
      <c r="E5" t="s">
        <v>118</v>
      </c>
      <c r="F5" t="s">
        <v>111</v>
      </c>
      <c r="G5" t="s">
        <v>119</v>
      </c>
      <c r="H5" t="s">
        <v>116</v>
      </c>
      <c r="I5" s="8">
        <v>550000</v>
      </c>
      <c r="K5" t="s">
        <v>123</v>
      </c>
    </row>
    <row r="6" spans="2:11" x14ac:dyDescent="0.35">
      <c r="B6" s="1" t="s">
        <v>120</v>
      </c>
      <c r="C6" t="s">
        <v>121</v>
      </c>
      <c r="D6" t="s">
        <v>117</v>
      </c>
      <c r="E6" t="s">
        <v>122</v>
      </c>
      <c r="F6" t="s">
        <v>111</v>
      </c>
      <c r="G6" t="s">
        <v>115</v>
      </c>
      <c r="H6" t="s">
        <v>116</v>
      </c>
      <c r="I6" s="8">
        <v>530000</v>
      </c>
      <c r="K6" t="s">
        <v>125</v>
      </c>
    </row>
    <row r="7" spans="2:11" x14ac:dyDescent="0.35">
      <c r="B7" s="1" t="s">
        <v>56</v>
      </c>
      <c r="C7" t="s">
        <v>7</v>
      </c>
      <c r="D7" t="s">
        <v>117</v>
      </c>
      <c r="E7" t="s">
        <v>110</v>
      </c>
      <c r="F7" t="s">
        <v>111</v>
      </c>
      <c r="G7" t="s">
        <v>115</v>
      </c>
      <c r="H7" t="s">
        <v>123</v>
      </c>
      <c r="I7" s="8">
        <v>760000</v>
      </c>
      <c r="K7" t="s">
        <v>130</v>
      </c>
    </row>
    <row r="8" spans="2:11" x14ac:dyDescent="0.35">
      <c r="B8" s="1" t="s">
        <v>66</v>
      </c>
      <c r="C8" t="s">
        <v>18</v>
      </c>
      <c r="D8" t="s">
        <v>117</v>
      </c>
      <c r="E8" t="s">
        <v>124</v>
      </c>
      <c r="F8" t="s">
        <v>111</v>
      </c>
      <c r="G8" t="s">
        <v>115</v>
      </c>
      <c r="H8" t="s">
        <v>123</v>
      </c>
      <c r="I8" s="8">
        <v>520000</v>
      </c>
    </row>
    <row r="9" spans="2:11" x14ac:dyDescent="0.35">
      <c r="B9" s="1" t="s">
        <v>64</v>
      </c>
      <c r="C9" t="s">
        <v>19</v>
      </c>
      <c r="D9" t="s">
        <v>117</v>
      </c>
      <c r="E9" t="s">
        <v>124</v>
      </c>
      <c r="F9" t="s">
        <v>111</v>
      </c>
      <c r="G9" t="s">
        <v>115</v>
      </c>
      <c r="H9" t="s">
        <v>125</v>
      </c>
      <c r="I9" s="8">
        <v>720000</v>
      </c>
    </row>
    <row r="10" spans="2:11" x14ac:dyDescent="0.35">
      <c r="B10" s="1" t="s">
        <v>126</v>
      </c>
      <c r="C10" t="s">
        <v>127</v>
      </c>
      <c r="D10" t="s">
        <v>109</v>
      </c>
      <c r="E10" t="s">
        <v>128</v>
      </c>
      <c r="F10" t="s">
        <v>111</v>
      </c>
      <c r="G10" t="s">
        <v>119</v>
      </c>
      <c r="H10" t="s">
        <v>125</v>
      </c>
      <c r="I10" s="8">
        <v>550000</v>
      </c>
    </row>
    <row r="11" spans="2:11" x14ac:dyDescent="0.35">
      <c r="B11" s="1" t="s">
        <v>62</v>
      </c>
      <c r="C11" t="s">
        <v>63</v>
      </c>
      <c r="D11" t="s">
        <v>109</v>
      </c>
      <c r="E11" t="s">
        <v>129</v>
      </c>
      <c r="F11" t="s">
        <v>111</v>
      </c>
      <c r="G11" t="s">
        <v>115</v>
      </c>
      <c r="H11" t="s">
        <v>130</v>
      </c>
      <c r="I11" s="8">
        <v>635000</v>
      </c>
    </row>
    <row r="12" spans="2:11" x14ac:dyDescent="0.35">
      <c r="B12" s="1" t="s">
        <v>65</v>
      </c>
      <c r="C12" t="s">
        <v>15</v>
      </c>
      <c r="D12" t="s">
        <v>117</v>
      </c>
      <c r="E12" t="s">
        <v>118</v>
      </c>
      <c r="F12" t="s">
        <v>111</v>
      </c>
      <c r="G12" t="s">
        <v>119</v>
      </c>
      <c r="H12" t="s">
        <v>130</v>
      </c>
      <c r="I12" s="8">
        <v>620000</v>
      </c>
    </row>
    <row r="13" spans="2:11" x14ac:dyDescent="0.35">
      <c r="B13" s="1" t="s">
        <v>131</v>
      </c>
      <c r="C13" t="s">
        <v>132</v>
      </c>
      <c r="D13" t="s">
        <v>117</v>
      </c>
      <c r="E13" t="s">
        <v>133</v>
      </c>
      <c r="F13" t="s">
        <v>134</v>
      </c>
      <c r="G13" t="s">
        <v>115</v>
      </c>
      <c r="H13" t="s">
        <v>116</v>
      </c>
      <c r="I13" s="8">
        <v>660000</v>
      </c>
    </row>
    <row r="14" spans="2:11" x14ac:dyDescent="0.35">
      <c r="B14" s="2" t="s">
        <v>135</v>
      </c>
      <c r="C14" s="4" t="s">
        <v>136</v>
      </c>
      <c r="D14" s="4" t="s">
        <v>117</v>
      </c>
      <c r="E14" s="4" t="s">
        <v>133</v>
      </c>
      <c r="F14" s="4" t="s">
        <v>134</v>
      </c>
      <c r="G14" s="4" t="s">
        <v>115</v>
      </c>
      <c r="H14" s="4" t="s">
        <v>123</v>
      </c>
      <c r="I14" s="10">
        <v>550000</v>
      </c>
    </row>
    <row r="16" spans="2:11" x14ac:dyDescent="0.35">
      <c r="C16" s="49" t="s">
        <v>4</v>
      </c>
      <c r="F16" s="49" t="s">
        <v>104</v>
      </c>
      <c r="H16" s="49" t="s">
        <v>106</v>
      </c>
      <c r="I16" s="49" t="s">
        <v>44</v>
      </c>
      <c r="J16" s="49" t="s">
        <v>44</v>
      </c>
    </row>
    <row r="17" spans="2:10" x14ac:dyDescent="0.35">
      <c r="C17" t="s">
        <v>174</v>
      </c>
      <c r="F17" t="s">
        <v>111</v>
      </c>
      <c r="H17" t="s">
        <v>123</v>
      </c>
      <c r="I17" t="s">
        <v>172</v>
      </c>
      <c r="J17" t="s">
        <v>173</v>
      </c>
    </row>
    <row r="19" spans="2:10" x14ac:dyDescent="0.35">
      <c r="B19" s="49" t="s">
        <v>3</v>
      </c>
      <c r="C19" s="49" t="s">
        <v>4</v>
      </c>
      <c r="D19" s="49" t="s">
        <v>102</v>
      </c>
      <c r="E19" s="49" t="s">
        <v>103</v>
      </c>
      <c r="F19" s="49" t="s">
        <v>104</v>
      </c>
      <c r="G19" s="49" t="s">
        <v>105</v>
      </c>
      <c r="H19" s="49" t="s">
        <v>106</v>
      </c>
      <c r="I19" s="49" t="s">
        <v>44</v>
      </c>
    </row>
    <row r="20" spans="2:10" x14ac:dyDescent="0.35">
      <c r="B20" s="1" t="s">
        <v>107</v>
      </c>
      <c r="C20" t="s">
        <v>108</v>
      </c>
      <c r="D20" t="s">
        <v>109</v>
      </c>
      <c r="E20" t="s">
        <v>110</v>
      </c>
      <c r="F20" t="s">
        <v>111</v>
      </c>
      <c r="G20" t="s">
        <v>112</v>
      </c>
      <c r="H20" t="s">
        <v>113</v>
      </c>
      <c r="I20" s="8">
        <v>830000</v>
      </c>
    </row>
    <row r="21" spans="2:10" x14ac:dyDescent="0.35">
      <c r="B21" s="1" t="s">
        <v>5</v>
      </c>
      <c r="C21" t="s">
        <v>6</v>
      </c>
      <c r="D21" t="s">
        <v>109</v>
      </c>
      <c r="E21" t="s">
        <v>114</v>
      </c>
      <c r="F21" t="s">
        <v>111</v>
      </c>
      <c r="G21" t="s">
        <v>115</v>
      </c>
      <c r="H21" t="s">
        <v>116</v>
      </c>
      <c r="I21" s="8">
        <v>660000</v>
      </c>
    </row>
    <row r="22" spans="2:10" x14ac:dyDescent="0.35">
      <c r="B22" s="1" t="s">
        <v>8</v>
      </c>
      <c r="C22" t="s">
        <v>9</v>
      </c>
      <c r="D22" t="s">
        <v>117</v>
      </c>
      <c r="E22" t="s">
        <v>118</v>
      </c>
      <c r="F22" t="s">
        <v>111</v>
      </c>
      <c r="G22" t="s">
        <v>119</v>
      </c>
      <c r="H22" t="s">
        <v>116</v>
      </c>
      <c r="I22" s="8">
        <v>550000</v>
      </c>
    </row>
    <row r="23" spans="2:10" x14ac:dyDescent="0.35">
      <c r="B23" s="1" t="s">
        <v>120</v>
      </c>
      <c r="C23" t="s">
        <v>121</v>
      </c>
      <c r="D23" t="s">
        <v>117</v>
      </c>
      <c r="E23" t="s">
        <v>122</v>
      </c>
      <c r="F23" t="s">
        <v>111</v>
      </c>
      <c r="G23" t="s">
        <v>115</v>
      </c>
      <c r="H23" t="s">
        <v>116</v>
      </c>
      <c r="I23" s="8">
        <v>530000</v>
      </c>
    </row>
    <row r="24" spans="2:10" x14ac:dyDescent="0.35">
      <c r="B24" s="1" t="s">
        <v>131</v>
      </c>
      <c r="C24" t="s">
        <v>132</v>
      </c>
      <c r="D24" t="s">
        <v>117</v>
      </c>
      <c r="E24" t="s">
        <v>133</v>
      </c>
      <c r="F24" t="s">
        <v>134</v>
      </c>
      <c r="G24" t="s">
        <v>115</v>
      </c>
      <c r="H24" t="s">
        <v>116</v>
      </c>
      <c r="I24" s="8">
        <v>660000</v>
      </c>
    </row>
  </sheetData>
  <dataValidations count="1">
    <dataValidation type="list" allowBlank="1" showInputMessage="1" showErrorMessage="1" sqref="H17" xr:uid="{05C6D2A5-7E58-4180-AB31-262FD679FDFE}">
      <formula1>$H$3:$H$14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48F2A-C0AD-48FB-AC5B-4FC9AE3BDDCF}">
  <dimension ref="B2:G14"/>
  <sheetViews>
    <sheetView workbookViewId="0">
      <selection activeCell="G3" sqref="G3"/>
    </sheetView>
  </sheetViews>
  <sheetFormatPr baseColWidth="10" defaultRowHeight="14.5" x14ac:dyDescent="0.35"/>
  <cols>
    <col min="1" max="1" width="9.81640625" customWidth="1"/>
    <col min="2" max="2" width="15.08984375" customWidth="1"/>
    <col min="3" max="3" width="24.36328125" customWidth="1"/>
    <col min="4" max="4" width="14.6328125" customWidth="1"/>
    <col min="5" max="5" width="15.36328125" customWidth="1"/>
    <col min="6" max="6" width="18.453125" customWidth="1"/>
  </cols>
  <sheetData>
    <row r="2" spans="2:7" x14ac:dyDescent="0.35">
      <c r="B2" s="49" t="s">
        <v>3</v>
      </c>
      <c r="C2" s="49" t="s">
        <v>4</v>
      </c>
      <c r="D2" s="49" t="s">
        <v>104</v>
      </c>
      <c r="E2" s="49" t="s">
        <v>105</v>
      </c>
      <c r="F2" s="49" t="s">
        <v>106</v>
      </c>
      <c r="G2" s="49" t="s">
        <v>44</v>
      </c>
    </row>
    <row r="3" spans="2:7" x14ac:dyDescent="0.35">
      <c r="B3" s="1" t="s">
        <v>107</v>
      </c>
      <c r="C3" t="s">
        <v>108</v>
      </c>
      <c r="D3" t="s">
        <v>111</v>
      </c>
      <c r="E3" t="s">
        <v>112</v>
      </c>
      <c r="F3" t="s">
        <v>113</v>
      </c>
      <c r="G3" s="8">
        <v>830000</v>
      </c>
    </row>
    <row r="4" spans="2:7" x14ac:dyDescent="0.35">
      <c r="B4" s="1" t="s">
        <v>8</v>
      </c>
      <c r="C4" t="s">
        <v>9</v>
      </c>
      <c r="D4" t="s">
        <v>111</v>
      </c>
      <c r="E4" t="s">
        <v>119</v>
      </c>
      <c r="F4" t="s">
        <v>116</v>
      </c>
      <c r="G4" s="8">
        <v>550000</v>
      </c>
    </row>
    <row r="5" spans="2:7" x14ac:dyDescent="0.35">
      <c r="B5" s="1" t="s">
        <v>5</v>
      </c>
      <c r="C5" t="s">
        <v>6</v>
      </c>
      <c r="D5" t="s">
        <v>111</v>
      </c>
      <c r="E5" t="s">
        <v>115</v>
      </c>
      <c r="F5" t="s">
        <v>116</v>
      </c>
      <c r="G5" s="8">
        <v>660000</v>
      </c>
    </row>
    <row r="6" spans="2:7" x14ac:dyDescent="0.35">
      <c r="B6" s="1" t="s">
        <v>120</v>
      </c>
      <c r="C6" t="s">
        <v>121</v>
      </c>
      <c r="D6" t="s">
        <v>111</v>
      </c>
      <c r="E6" t="s">
        <v>115</v>
      </c>
      <c r="F6" t="s">
        <v>116</v>
      </c>
      <c r="G6" s="8">
        <v>530000</v>
      </c>
    </row>
    <row r="7" spans="2:7" x14ac:dyDescent="0.35">
      <c r="B7" s="1" t="s">
        <v>131</v>
      </c>
      <c r="C7" t="s">
        <v>132</v>
      </c>
      <c r="D7" t="s">
        <v>134</v>
      </c>
      <c r="E7" t="s">
        <v>115</v>
      </c>
      <c r="F7" t="s">
        <v>116</v>
      </c>
      <c r="G7" s="8">
        <v>660000</v>
      </c>
    </row>
    <row r="8" spans="2:7" x14ac:dyDescent="0.35">
      <c r="B8" s="1" t="s">
        <v>56</v>
      </c>
      <c r="C8" t="s">
        <v>7</v>
      </c>
      <c r="D8" t="s">
        <v>111</v>
      </c>
      <c r="E8" t="s">
        <v>115</v>
      </c>
      <c r="F8" t="s">
        <v>123</v>
      </c>
      <c r="G8" s="8">
        <v>760000</v>
      </c>
    </row>
    <row r="9" spans="2:7" x14ac:dyDescent="0.35">
      <c r="B9" s="1" t="s">
        <v>66</v>
      </c>
      <c r="C9" t="s">
        <v>18</v>
      </c>
      <c r="D9" t="s">
        <v>111</v>
      </c>
      <c r="E9" t="s">
        <v>115</v>
      </c>
      <c r="F9" t="s">
        <v>123</v>
      </c>
      <c r="G9" s="8">
        <v>520000</v>
      </c>
    </row>
    <row r="10" spans="2:7" x14ac:dyDescent="0.35">
      <c r="B10" s="1" t="s">
        <v>135</v>
      </c>
      <c r="C10" t="s">
        <v>136</v>
      </c>
      <c r="D10" t="s">
        <v>134</v>
      </c>
      <c r="E10" t="s">
        <v>115</v>
      </c>
      <c r="F10" t="s">
        <v>123</v>
      </c>
      <c r="G10" s="8">
        <v>550000</v>
      </c>
    </row>
    <row r="11" spans="2:7" x14ac:dyDescent="0.35">
      <c r="B11" s="1" t="s">
        <v>126</v>
      </c>
      <c r="C11" t="s">
        <v>127</v>
      </c>
      <c r="D11" t="s">
        <v>111</v>
      </c>
      <c r="E11" t="s">
        <v>119</v>
      </c>
      <c r="F11" t="s">
        <v>125</v>
      </c>
      <c r="G11" s="8">
        <v>550000</v>
      </c>
    </row>
    <row r="12" spans="2:7" x14ac:dyDescent="0.35">
      <c r="B12" s="1" t="s">
        <v>64</v>
      </c>
      <c r="C12" t="s">
        <v>19</v>
      </c>
      <c r="D12" t="s">
        <v>111</v>
      </c>
      <c r="E12" t="s">
        <v>115</v>
      </c>
      <c r="F12" t="s">
        <v>125</v>
      </c>
      <c r="G12" s="8">
        <v>720000</v>
      </c>
    </row>
    <row r="13" spans="2:7" x14ac:dyDescent="0.35">
      <c r="B13" s="1" t="s">
        <v>65</v>
      </c>
      <c r="C13" t="s">
        <v>15</v>
      </c>
      <c r="D13" t="s">
        <v>111</v>
      </c>
      <c r="E13" t="s">
        <v>119</v>
      </c>
      <c r="F13" t="s">
        <v>130</v>
      </c>
      <c r="G13" s="8">
        <v>620000</v>
      </c>
    </row>
    <row r="14" spans="2:7" x14ac:dyDescent="0.35">
      <c r="B14" s="2" t="s">
        <v>62</v>
      </c>
      <c r="C14" s="4" t="s">
        <v>63</v>
      </c>
      <c r="D14" s="4" t="s">
        <v>111</v>
      </c>
      <c r="E14" s="4" t="s">
        <v>115</v>
      </c>
      <c r="F14" s="4" t="s">
        <v>130</v>
      </c>
      <c r="G14" s="10">
        <v>635000</v>
      </c>
    </row>
  </sheetData>
  <sortState xmlns:xlrd2="http://schemas.microsoft.com/office/spreadsheetml/2017/richdata2" ref="B3:G14">
    <sortCondition ref="F2:F14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7C819-12C8-4862-A8F9-5D20222D9C6D}">
  <dimension ref="B3:I12"/>
  <sheetViews>
    <sheetView workbookViewId="0">
      <selection activeCell="B3" sqref="B3:B12"/>
    </sheetView>
  </sheetViews>
  <sheetFormatPr baseColWidth="10" defaultRowHeight="14.5" x14ac:dyDescent="0.35"/>
  <cols>
    <col min="1" max="1" width="7.7265625" customWidth="1"/>
    <col min="2" max="2" width="14.36328125" customWidth="1"/>
    <col min="3" max="3" width="24.36328125" bestFit="1" customWidth="1"/>
    <col min="4" max="4" width="16.7265625" bestFit="1" customWidth="1"/>
    <col min="6" max="6" width="6.1796875" customWidth="1"/>
    <col min="7" max="7" width="6.81640625" customWidth="1"/>
    <col min="8" max="8" width="18.90625" customWidth="1"/>
    <col min="9" max="9" width="28.54296875" customWidth="1"/>
  </cols>
  <sheetData>
    <row r="3" spans="2:9" x14ac:dyDescent="0.35">
      <c r="B3" s="49" t="s">
        <v>3</v>
      </c>
      <c r="C3" s="49" t="s">
        <v>4</v>
      </c>
      <c r="D3" s="49" t="s">
        <v>106</v>
      </c>
      <c r="E3" s="49" t="s">
        <v>44</v>
      </c>
      <c r="H3" s="73" t="s">
        <v>3</v>
      </c>
      <c r="I3" t="s">
        <v>8</v>
      </c>
    </row>
    <row r="4" spans="2:9" x14ac:dyDescent="0.35">
      <c r="B4" s="1" t="s">
        <v>107</v>
      </c>
      <c r="C4" t="s">
        <v>108</v>
      </c>
      <c r="D4" t="s">
        <v>113</v>
      </c>
      <c r="E4" s="8">
        <v>830000</v>
      </c>
      <c r="H4" s="74"/>
    </row>
    <row r="5" spans="2:9" x14ac:dyDescent="0.35">
      <c r="B5" s="1" t="s">
        <v>5</v>
      </c>
      <c r="C5" t="s">
        <v>6</v>
      </c>
      <c r="D5" t="s">
        <v>116</v>
      </c>
      <c r="E5" s="8">
        <v>660000</v>
      </c>
      <c r="H5" s="73" t="s">
        <v>4</v>
      </c>
      <c r="I5" t="str">
        <f>VLOOKUP(I3,B4:E12,2,0)</f>
        <v>Catalán Toro Armanda</v>
      </c>
    </row>
    <row r="6" spans="2:9" x14ac:dyDescent="0.35">
      <c r="B6" s="1" t="s">
        <v>8</v>
      </c>
      <c r="C6" t="s">
        <v>9</v>
      </c>
      <c r="D6" t="s">
        <v>116</v>
      </c>
      <c r="E6" s="8">
        <v>550000</v>
      </c>
      <c r="H6" s="73" t="s">
        <v>106</v>
      </c>
      <c r="I6" t="str">
        <f>VLOOKUP(I3,B4:E12,3,0)</f>
        <v>CONTABILIDAD</v>
      </c>
    </row>
    <row r="7" spans="2:9" x14ac:dyDescent="0.35">
      <c r="B7" s="1" t="s">
        <v>120</v>
      </c>
      <c r="C7" t="s">
        <v>121</v>
      </c>
      <c r="D7" t="s">
        <v>116</v>
      </c>
      <c r="E7" s="8">
        <v>530000</v>
      </c>
      <c r="H7" s="73" t="s">
        <v>44</v>
      </c>
      <c r="I7" s="8">
        <f>VLOOKUP(I3,B4:E12,4,0)</f>
        <v>550000</v>
      </c>
    </row>
    <row r="8" spans="2:9" x14ac:dyDescent="0.35">
      <c r="B8" s="1" t="s">
        <v>126</v>
      </c>
      <c r="C8" t="s">
        <v>127</v>
      </c>
      <c r="D8" t="s">
        <v>125</v>
      </c>
      <c r="E8" s="8">
        <v>550000</v>
      </c>
    </row>
    <row r="9" spans="2:9" x14ac:dyDescent="0.35">
      <c r="B9" s="1" t="s">
        <v>62</v>
      </c>
      <c r="C9" t="s">
        <v>63</v>
      </c>
      <c r="D9" t="s">
        <v>130</v>
      </c>
      <c r="E9" s="8">
        <v>635000</v>
      </c>
      <c r="H9" s="75" t="s">
        <v>175</v>
      </c>
      <c r="I9" s="8">
        <f>I7*13.5%</f>
        <v>74250</v>
      </c>
    </row>
    <row r="10" spans="2:9" x14ac:dyDescent="0.35">
      <c r="B10" s="1" t="s">
        <v>65</v>
      </c>
      <c r="C10" t="s">
        <v>15</v>
      </c>
      <c r="D10" t="s">
        <v>130</v>
      </c>
      <c r="E10" s="8">
        <v>620000</v>
      </c>
      <c r="H10" s="75" t="s">
        <v>176</v>
      </c>
      <c r="I10" s="8">
        <f>I7-I9</f>
        <v>475750</v>
      </c>
    </row>
    <row r="11" spans="2:9" x14ac:dyDescent="0.35">
      <c r="B11" s="1" t="s">
        <v>131</v>
      </c>
      <c r="C11" t="s">
        <v>132</v>
      </c>
      <c r="D11" t="s">
        <v>116</v>
      </c>
      <c r="E11" s="8">
        <v>660000</v>
      </c>
    </row>
    <row r="12" spans="2:9" x14ac:dyDescent="0.35">
      <c r="B12" s="2" t="s">
        <v>135</v>
      </c>
      <c r="C12" s="4" t="s">
        <v>136</v>
      </c>
      <c r="D12" s="4" t="s">
        <v>123</v>
      </c>
      <c r="E12" s="10">
        <v>550000</v>
      </c>
    </row>
  </sheetData>
  <dataValidations count="1">
    <dataValidation type="list" allowBlank="1" showInputMessage="1" showErrorMessage="1" errorTitle="Excel " error="R.U.T. No Existe" sqref="I3" xr:uid="{0AFF8A1A-B29C-468A-B78B-A9B8FDC0B70D}">
      <formula1>$B$4:$B$12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11B8B-B090-48DB-90BE-1F2ACD89EC46}">
  <dimension ref="A1:K11"/>
  <sheetViews>
    <sheetView workbookViewId="0">
      <selection sqref="A1:K4"/>
    </sheetView>
  </sheetViews>
  <sheetFormatPr baseColWidth="10" defaultRowHeight="14.5" x14ac:dyDescent="0.35"/>
  <cols>
    <col min="2" max="2" width="16.6328125" customWidth="1"/>
    <col min="3" max="3" width="21" customWidth="1"/>
    <col min="4" max="4" width="17.36328125" bestFit="1" customWidth="1"/>
    <col min="5" max="5" width="12.7265625" bestFit="1" customWidth="1"/>
    <col min="6" max="6" width="14.08984375" customWidth="1"/>
    <col min="7" max="7" width="16" customWidth="1"/>
    <col min="8" max="8" width="18.36328125" customWidth="1"/>
    <col min="9" max="9" width="12.90625" bestFit="1" customWidth="1"/>
    <col min="10" max="10" width="11.7265625" bestFit="1" customWidth="1"/>
    <col min="11" max="11" width="12.1796875" bestFit="1" customWidth="1"/>
  </cols>
  <sheetData>
    <row r="1" spans="1:11" x14ac:dyDescent="0.35">
      <c r="A1" s="50" t="s">
        <v>137</v>
      </c>
      <c r="B1" s="51">
        <v>1968</v>
      </c>
      <c r="C1" s="51">
        <v>1674</v>
      </c>
      <c r="D1" s="51">
        <v>1516</v>
      </c>
      <c r="E1" s="51">
        <v>1330</v>
      </c>
      <c r="F1" s="51">
        <v>1949</v>
      </c>
      <c r="G1" s="51">
        <v>1311</v>
      </c>
      <c r="H1" s="51">
        <v>1906</v>
      </c>
      <c r="I1" s="51">
        <v>1293</v>
      </c>
      <c r="J1" s="51">
        <v>1329</v>
      </c>
      <c r="K1" s="51">
        <v>1572</v>
      </c>
    </row>
    <row r="2" spans="1:11" x14ac:dyDescent="0.35">
      <c r="A2" s="50" t="s">
        <v>138</v>
      </c>
      <c r="B2" s="52" t="s">
        <v>139</v>
      </c>
      <c r="C2" s="52" t="s">
        <v>140</v>
      </c>
      <c r="D2" s="52" t="s">
        <v>141</v>
      </c>
      <c r="E2" s="52" t="s">
        <v>142</v>
      </c>
      <c r="F2" s="52" t="s">
        <v>143</v>
      </c>
      <c r="G2" s="52" t="s">
        <v>144</v>
      </c>
      <c r="H2" s="52" t="s">
        <v>145</v>
      </c>
      <c r="I2" s="52" t="s">
        <v>146</v>
      </c>
      <c r="J2" s="52" t="s">
        <v>147</v>
      </c>
      <c r="K2" s="52" t="s">
        <v>148</v>
      </c>
    </row>
    <row r="3" spans="1:11" x14ac:dyDescent="0.35">
      <c r="A3" s="50" t="s">
        <v>11</v>
      </c>
      <c r="B3" s="53" t="s">
        <v>12</v>
      </c>
      <c r="C3" s="53" t="s">
        <v>13</v>
      </c>
      <c r="D3" s="53" t="s">
        <v>12</v>
      </c>
      <c r="E3" s="53" t="s">
        <v>13</v>
      </c>
      <c r="F3" s="53" t="s">
        <v>13</v>
      </c>
      <c r="G3" s="53" t="s">
        <v>12</v>
      </c>
      <c r="H3" s="53" t="s">
        <v>149</v>
      </c>
      <c r="I3" s="53" t="s">
        <v>12</v>
      </c>
      <c r="J3" s="53" t="s">
        <v>13</v>
      </c>
      <c r="K3" s="53" t="s">
        <v>150</v>
      </c>
    </row>
    <row r="4" spans="1:11" x14ac:dyDescent="0.35">
      <c r="A4" s="54" t="s">
        <v>151</v>
      </c>
      <c r="B4" s="55">
        <v>3200000</v>
      </c>
      <c r="C4" s="55">
        <v>3200000</v>
      </c>
      <c r="D4" s="55">
        <v>4500000</v>
      </c>
      <c r="E4" s="55">
        <v>3200000</v>
      </c>
      <c r="F4" s="55">
        <v>4100000</v>
      </c>
      <c r="G4" s="55">
        <v>3800000</v>
      </c>
      <c r="H4" s="55">
        <v>1350000</v>
      </c>
      <c r="I4" s="55">
        <v>1700000</v>
      </c>
      <c r="J4" s="55">
        <v>3500000</v>
      </c>
      <c r="K4" s="55">
        <v>3600000</v>
      </c>
    </row>
    <row r="7" spans="1:11" x14ac:dyDescent="0.35">
      <c r="B7" s="50" t="s">
        <v>137</v>
      </c>
      <c r="C7">
        <v>1516</v>
      </c>
    </row>
    <row r="9" spans="1:11" x14ac:dyDescent="0.35">
      <c r="B9" s="50" t="s">
        <v>138</v>
      </c>
      <c r="C9" t="str">
        <f>HLOOKUP($C$7,$B$1:$K$4,2,0)</f>
        <v>Guillermo Fernandez</v>
      </c>
    </row>
    <row r="10" spans="1:11" x14ac:dyDescent="0.35">
      <c r="B10" s="50" t="s">
        <v>11</v>
      </c>
      <c r="C10" t="str">
        <f>HLOOKUP($C$7,$B$1:$K$4,3,0)</f>
        <v>Norte</v>
      </c>
    </row>
    <row r="11" spans="1:11" x14ac:dyDescent="0.35">
      <c r="B11" s="54" t="s">
        <v>151</v>
      </c>
      <c r="C11" s="62">
        <f>HLOOKUP($C$7,$B$1:$K$4,4,0)</f>
        <v>4500000</v>
      </c>
    </row>
  </sheetData>
  <dataValidations count="1">
    <dataValidation type="list" allowBlank="1" showInputMessage="1" showErrorMessage="1" sqref="C7" xr:uid="{2F34610D-0E10-4377-B85D-EC817DE3420D}">
      <formula1>$B$1:$K$1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8DD73-D1E4-416F-8075-C6F72B5F90F6}">
  <dimension ref="B2:E12"/>
  <sheetViews>
    <sheetView workbookViewId="0">
      <selection activeCell="E2" sqref="E2"/>
    </sheetView>
  </sheetViews>
  <sheetFormatPr baseColWidth="10" defaultRowHeight="14.5" x14ac:dyDescent="0.35"/>
  <cols>
    <col min="3" max="3" width="17.36328125" bestFit="1" customWidth="1"/>
  </cols>
  <sheetData>
    <row r="2" spans="2:5" x14ac:dyDescent="0.35">
      <c r="B2" s="50" t="s">
        <v>137</v>
      </c>
      <c r="C2" s="50" t="s">
        <v>138</v>
      </c>
      <c r="D2" s="50" t="s">
        <v>11</v>
      </c>
      <c r="E2" s="54" t="s">
        <v>151</v>
      </c>
    </row>
    <row r="3" spans="2:5" x14ac:dyDescent="0.35">
      <c r="B3" s="51">
        <v>1968</v>
      </c>
      <c r="C3" s="52" t="s">
        <v>139</v>
      </c>
      <c r="D3" s="53" t="s">
        <v>12</v>
      </c>
      <c r="E3" s="55">
        <v>3200000</v>
      </c>
    </row>
    <row r="4" spans="2:5" x14ac:dyDescent="0.35">
      <c r="B4" s="51">
        <v>1674</v>
      </c>
      <c r="C4" s="52" t="s">
        <v>140</v>
      </c>
      <c r="D4" s="53" t="s">
        <v>13</v>
      </c>
      <c r="E4" s="55">
        <v>3200000</v>
      </c>
    </row>
    <row r="5" spans="2:5" x14ac:dyDescent="0.35">
      <c r="B5" s="51">
        <v>1516</v>
      </c>
      <c r="C5" s="52" t="s">
        <v>141</v>
      </c>
      <c r="D5" s="53" t="s">
        <v>12</v>
      </c>
      <c r="E5" s="55">
        <v>4500000</v>
      </c>
    </row>
    <row r="6" spans="2:5" x14ac:dyDescent="0.35">
      <c r="B6" s="51">
        <v>1330</v>
      </c>
      <c r="C6" s="52" t="s">
        <v>142</v>
      </c>
      <c r="D6" s="53" t="s">
        <v>13</v>
      </c>
      <c r="E6" s="55">
        <v>3200000</v>
      </c>
    </row>
    <row r="7" spans="2:5" x14ac:dyDescent="0.35">
      <c r="B7" s="51">
        <v>1949</v>
      </c>
      <c r="C7" s="52" t="s">
        <v>143</v>
      </c>
      <c r="D7" s="53" t="s">
        <v>13</v>
      </c>
      <c r="E7" s="55">
        <v>4100000</v>
      </c>
    </row>
    <row r="8" spans="2:5" x14ac:dyDescent="0.35">
      <c r="B8" s="51">
        <v>1311</v>
      </c>
      <c r="C8" s="52" t="s">
        <v>144</v>
      </c>
      <c r="D8" s="53" t="s">
        <v>12</v>
      </c>
      <c r="E8" s="55">
        <v>3800000</v>
      </c>
    </row>
    <row r="9" spans="2:5" x14ac:dyDescent="0.35">
      <c r="B9" s="51">
        <v>1906</v>
      </c>
      <c r="C9" s="52" t="s">
        <v>145</v>
      </c>
      <c r="D9" s="53" t="s">
        <v>149</v>
      </c>
      <c r="E9" s="55">
        <v>1350000</v>
      </c>
    </row>
    <row r="10" spans="2:5" x14ac:dyDescent="0.35">
      <c r="B10" s="51">
        <v>1293</v>
      </c>
      <c r="C10" s="52" t="s">
        <v>146</v>
      </c>
      <c r="D10" s="53" t="s">
        <v>12</v>
      </c>
      <c r="E10" s="55">
        <v>1700000</v>
      </c>
    </row>
    <row r="11" spans="2:5" x14ac:dyDescent="0.35">
      <c r="B11" s="51">
        <v>1329</v>
      </c>
      <c r="C11" s="52" t="s">
        <v>147</v>
      </c>
      <c r="D11" s="53" t="s">
        <v>13</v>
      </c>
      <c r="E11" s="55">
        <v>3500000</v>
      </c>
    </row>
    <row r="12" spans="2:5" x14ac:dyDescent="0.35">
      <c r="B12" s="51">
        <v>1572</v>
      </c>
      <c r="C12" s="52" t="s">
        <v>148</v>
      </c>
      <c r="D12" s="53" t="s">
        <v>150</v>
      </c>
      <c r="E12" s="55">
        <v>3600000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F2A86-FCCC-4C0F-BD2B-00E81E23A5D8}">
  <dimension ref="B3:H15"/>
  <sheetViews>
    <sheetView tabSelected="1" workbookViewId="0">
      <selection activeCell="H3" sqref="H3"/>
    </sheetView>
  </sheetViews>
  <sheetFormatPr baseColWidth="10" defaultRowHeight="14.5" x14ac:dyDescent="0.35"/>
  <cols>
    <col min="2" max="2" width="15.1796875" customWidth="1"/>
    <col min="3" max="3" width="24.36328125" bestFit="1" customWidth="1"/>
    <col min="4" max="4" width="16.7265625" bestFit="1" customWidth="1"/>
    <col min="6" max="6" width="7.453125" customWidth="1"/>
    <col min="8" max="8" width="28.90625" customWidth="1"/>
    <col min="9" max="9" width="15.36328125" customWidth="1"/>
  </cols>
  <sheetData>
    <row r="3" spans="2:8" x14ac:dyDescent="0.35">
      <c r="B3" s="49" t="s">
        <v>3</v>
      </c>
      <c r="C3" s="49" t="s">
        <v>4</v>
      </c>
      <c r="D3" s="49" t="s">
        <v>106</v>
      </c>
      <c r="E3" s="49" t="s">
        <v>44</v>
      </c>
      <c r="G3" s="73" t="s">
        <v>3</v>
      </c>
      <c r="H3" t="s">
        <v>5</v>
      </c>
    </row>
    <row r="4" spans="2:8" x14ac:dyDescent="0.35">
      <c r="B4" s="1" t="s">
        <v>107</v>
      </c>
      <c r="C4" t="s">
        <v>108</v>
      </c>
      <c r="D4" t="s">
        <v>113</v>
      </c>
      <c r="E4" s="8">
        <v>830000</v>
      </c>
      <c r="G4" s="73" t="s">
        <v>4</v>
      </c>
      <c r="H4" t="str" cm="1">
        <f t="array" ref="H4:H6">TRANSPOSE(_xlfn.XLOOKUP(H3,B4:B12,C4:E12,"No Existe",0))</f>
        <v>Castro Córdova Silvia</v>
      </c>
    </row>
    <row r="5" spans="2:8" x14ac:dyDescent="0.35">
      <c r="B5" s="1" t="s">
        <v>5</v>
      </c>
      <c r="C5" t="s">
        <v>6</v>
      </c>
      <c r="D5" t="s">
        <v>116</v>
      </c>
      <c r="E5" s="8">
        <v>660000</v>
      </c>
      <c r="G5" s="73" t="s">
        <v>106</v>
      </c>
      <c r="H5" t="str">
        <v>CONTABILIDAD</v>
      </c>
    </row>
    <row r="6" spans="2:8" x14ac:dyDescent="0.35">
      <c r="B6" s="1" t="s">
        <v>8</v>
      </c>
      <c r="C6" t="s">
        <v>9</v>
      </c>
      <c r="D6" t="s">
        <v>116</v>
      </c>
      <c r="E6" s="8">
        <v>550000</v>
      </c>
      <c r="G6" s="73" t="s">
        <v>44</v>
      </c>
      <c r="H6" s="8">
        <v>660000</v>
      </c>
    </row>
    <row r="7" spans="2:8" x14ac:dyDescent="0.35">
      <c r="B7" s="1" t="s">
        <v>120</v>
      </c>
      <c r="C7" t="s">
        <v>121</v>
      </c>
      <c r="D7" t="s">
        <v>116</v>
      </c>
      <c r="E7" s="8">
        <v>530000</v>
      </c>
    </row>
    <row r="8" spans="2:8" x14ac:dyDescent="0.35">
      <c r="B8" s="1" t="s">
        <v>126</v>
      </c>
      <c r="C8" t="s">
        <v>127</v>
      </c>
      <c r="D8" t="s">
        <v>125</v>
      </c>
      <c r="E8" s="8">
        <v>550000</v>
      </c>
    </row>
    <row r="9" spans="2:8" x14ac:dyDescent="0.35">
      <c r="B9" s="1" t="s">
        <v>62</v>
      </c>
      <c r="C9" t="s">
        <v>63</v>
      </c>
      <c r="D9" t="s">
        <v>130</v>
      </c>
      <c r="E9" s="8">
        <v>635000</v>
      </c>
    </row>
    <row r="10" spans="2:8" x14ac:dyDescent="0.35">
      <c r="B10" s="1" t="s">
        <v>65</v>
      </c>
      <c r="C10" t="s">
        <v>15</v>
      </c>
      <c r="D10" t="s">
        <v>130</v>
      </c>
      <c r="E10" s="8">
        <v>620000</v>
      </c>
    </row>
    <row r="11" spans="2:8" x14ac:dyDescent="0.35">
      <c r="B11" s="1" t="s">
        <v>131</v>
      </c>
      <c r="C11" t="s">
        <v>132</v>
      </c>
      <c r="D11" t="s">
        <v>116</v>
      </c>
      <c r="E11" s="8">
        <v>660000</v>
      </c>
    </row>
    <row r="12" spans="2:8" x14ac:dyDescent="0.35">
      <c r="B12" s="2" t="s">
        <v>135</v>
      </c>
      <c r="C12" s="4" t="s">
        <v>136</v>
      </c>
      <c r="D12" s="4" t="s">
        <v>123</v>
      </c>
      <c r="E12" s="10">
        <v>550000</v>
      </c>
    </row>
    <row r="14" spans="2:8" x14ac:dyDescent="0.35">
      <c r="B14" s="49" t="s">
        <v>3</v>
      </c>
      <c r="C14" s="49" t="s">
        <v>4</v>
      </c>
      <c r="D14" s="49" t="s">
        <v>106</v>
      </c>
      <c r="E14" s="49" t="s">
        <v>44</v>
      </c>
    </row>
    <row r="15" spans="2:8" x14ac:dyDescent="0.35">
      <c r="B15" t="s">
        <v>62</v>
      </c>
      <c r="C15" t="str" cm="1">
        <f t="array" ref="C15:E15">_xlfn.XLOOKUP(B15,B4:B12,C4:E12,"No Existe",0)</f>
        <v>Azócar Riffo Herminda</v>
      </c>
      <c r="D15" t="str">
        <v>REMUNERACIONES</v>
      </c>
      <c r="E15" s="8">
        <v>635000</v>
      </c>
    </row>
  </sheetData>
  <dataValidations count="1">
    <dataValidation type="list" allowBlank="1" showInputMessage="1" showErrorMessage="1" sqref="B15 H3" xr:uid="{29580BF0-9440-4C17-9BC6-ABA43AE18402}">
      <formula1>$B$4:$B$12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41342-F755-4E81-B801-DE89B40E95BC}">
  <dimension ref="B2:B14"/>
  <sheetViews>
    <sheetView workbookViewId="0">
      <selection activeCell="L19" sqref="L19"/>
    </sheetView>
  </sheetViews>
  <sheetFormatPr baseColWidth="10" defaultRowHeight="14.5" x14ac:dyDescent="0.35"/>
  <cols>
    <col min="2" max="2" width="24.90625" customWidth="1"/>
  </cols>
  <sheetData>
    <row r="2" spans="2:2" x14ac:dyDescent="0.35">
      <c r="B2" s="49" t="s">
        <v>4</v>
      </c>
    </row>
    <row r="3" spans="2:2" x14ac:dyDescent="0.35">
      <c r="B3" t="s">
        <v>108</v>
      </c>
    </row>
    <row r="4" spans="2:2" x14ac:dyDescent="0.35">
      <c r="B4" t="s">
        <v>6</v>
      </c>
    </row>
    <row r="5" spans="2:2" x14ac:dyDescent="0.35">
      <c r="B5" t="s">
        <v>9</v>
      </c>
    </row>
    <row r="6" spans="2:2" x14ac:dyDescent="0.35">
      <c r="B6" t="s">
        <v>121</v>
      </c>
    </row>
    <row r="7" spans="2:2" x14ac:dyDescent="0.35">
      <c r="B7" t="s">
        <v>7</v>
      </c>
    </row>
    <row r="8" spans="2:2" x14ac:dyDescent="0.35">
      <c r="B8" t="s">
        <v>18</v>
      </c>
    </row>
    <row r="9" spans="2:2" x14ac:dyDescent="0.35">
      <c r="B9" t="s">
        <v>19</v>
      </c>
    </row>
    <row r="10" spans="2:2" x14ac:dyDescent="0.35">
      <c r="B10" t="s">
        <v>127</v>
      </c>
    </row>
    <row r="11" spans="2:2" x14ac:dyDescent="0.35">
      <c r="B11" t="s">
        <v>63</v>
      </c>
    </row>
    <row r="12" spans="2:2" x14ac:dyDescent="0.35">
      <c r="B12" t="s">
        <v>15</v>
      </c>
    </row>
    <row r="13" spans="2:2" x14ac:dyDescent="0.35">
      <c r="B13" t="s">
        <v>132</v>
      </c>
    </row>
    <row r="14" spans="2:2" x14ac:dyDescent="0.35">
      <c r="B14" s="4" t="s">
        <v>136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66258-F9F8-4C02-BF9D-6B44B8A5AF11}">
  <dimension ref="B2:B14"/>
  <sheetViews>
    <sheetView workbookViewId="0">
      <selection sqref="A1:XFD1048576"/>
    </sheetView>
  </sheetViews>
  <sheetFormatPr baseColWidth="10" defaultRowHeight="14.5" x14ac:dyDescent="0.35"/>
  <cols>
    <col min="2" max="2" width="23.7265625" customWidth="1"/>
  </cols>
  <sheetData>
    <row r="2" spans="2:2" x14ac:dyDescent="0.35">
      <c r="B2" s="49" t="s">
        <v>4</v>
      </c>
    </row>
    <row r="3" spans="2:2" x14ac:dyDescent="0.35">
      <c r="B3" t="s">
        <v>108</v>
      </c>
    </row>
    <row r="4" spans="2:2" x14ac:dyDescent="0.35">
      <c r="B4" t="s">
        <v>6</v>
      </c>
    </row>
    <row r="6" spans="2:2" x14ac:dyDescent="0.35">
      <c r="B6" s="49" t="s">
        <v>152</v>
      </c>
    </row>
    <row r="10" spans="2:2" x14ac:dyDescent="0.35">
      <c r="B10" s="49" t="s">
        <v>153</v>
      </c>
    </row>
    <row r="14" spans="2:2" x14ac:dyDescent="0.35">
      <c r="B14" s="49" t="s">
        <v>154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ED968-9ACC-4580-B863-0B5BEDFF05BF}">
  <dimension ref="B2:I14"/>
  <sheetViews>
    <sheetView workbookViewId="0">
      <selection sqref="A1:XFD1048576"/>
    </sheetView>
  </sheetViews>
  <sheetFormatPr baseColWidth="10" defaultRowHeight="14.5" x14ac:dyDescent="0.35"/>
  <cols>
    <col min="2" max="2" width="12.6328125" customWidth="1"/>
    <col min="3" max="3" width="24.36328125" bestFit="1" customWidth="1"/>
    <col min="6" max="6" width="15.90625" customWidth="1"/>
    <col min="8" max="8" width="16.7265625" bestFit="1" customWidth="1"/>
  </cols>
  <sheetData>
    <row r="2" spans="2:9" x14ac:dyDescent="0.35">
      <c r="B2" s="49" t="s">
        <v>3</v>
      </c>
      <c r="C2" s="49" t="s">
        <v>4</v>
      </c>
      <c r="D2" s="49" t="s">
        <v>102</v>
      </c>
      <c r="E2" s="49" t="s">
        <v>103</v>
      </c>
      <c r="F2" s="49" t="s">
        <v>104</v>
      </c>
      <c r="G2" s="49" t="s">
        <v>105</v>
      </c>
      <c r="H2" s="49" t="s">
        <v>106</v>
      </c>
      <c r="I2" s="49" t="s">
        <v>44</v>
      </c>
    </row>
    <row r="3" spans="2:9" x14ac:dyDescent="0.35">
      <c r="B3" s="1" t="s">
        <v>107</v>
      </c>
      <c r="C3" t="s">
        <v>108</v>
      </c>
      <c r="D3" t="s">
        <v>109</v>
      </c>
      <c r="E3" t="s">
        <v>110</v>
      </c>
      <c r="F3" t="s">
        <v>111</v>
      </c>
      <c r="G3" t="s">
        <v>112</v>
      </c>
      <c r="H3" t="s">
        <v>113</v>
      </c>
      <c r="I3" s="8">
        <v>830000</v>
      </c>
    </row>
    <row r="4" spans="2:9" x14ac:dyDescent="0.35">
      <c r="B4" s="1" t="s">
        <v>5</v>
      </c>
      <c r="C4" t="s">
        <v>6</v>
      </c>
      <c r="D4" t="s">
        <v>109</v>
      </c>
      <c r="E4" t="s">
        <v>114</v>
      </c>
      <c r="F4" t="s">
        <v>111</v>
      </c>
      <c r="G4" t="s">
        <v>115</v>
      </c>
      <c r="H4" t="s">
        <v>116</v>
      </c>
      <c r="I4" s="8">
        <v>660000</v>
      </c>
    </row>
    <row r="5" spans="2:9" x14ac:dyDescent="0.35">
      <c r="B5" s="1" t="s">
        <v>8</v>
      </c>
      <c r="C5" t="s">
        <v>9</v>
      </c>
      <c r="D5" t="s">
        <v>117</v>
      </c>
      <c r="E5" t="s">
        <v>118</v>
      </c>
      <c r="F5" t="s">
        <v>111</v>
      </c>
      <c r="G5" t="s">
        <v>119</v>
      </c>
      <c r="H5" t="s">
        <v>116</v>
      </c>
      <c r="I5" s="8">
        <v>550000</v>
      </c>
    </row>
    <row r="6" spans="2:9" x14ac:dyDescent="0.35">
      <c r="B6" s="1" t="s">
        <v>120</v>
      </c>
      <c r="C6" t="s">
        <v>121</v>
      </c>
      <c r="D6" t="s">
        <v>117</v>
      </c>
      <c r="E6" t="s">
        <v>122</v>
      </c>
      <c r="F6" t="s">
        <v>111</v>
      </c>
      <c r="G6" t="s">
        <v>115</v>
      </c>
      <c r="H6" t="s">
        <v>116</v>
      </c>
      <c r="I6" s="8">
        <v>530000</v>
      </c>
    </row>
    <row r="7" spans="2:9" x14ac:dyDescent="0.35">
      <c r="B7" s="1" t="s">
        <v>56</v>
      </c>
      <c r="C7" t="s">
        <v>7</v>
      </c>
      <c r="D7" t="s">
        <v>117</v>
      </c>
      <c r="E7" t="s">
        <v>110</v>
      </c>
      <c r="F7" t="s">
        <v>111</v>
      </c>
      <c r="G7" t="s">
        <v>115</v>
      </c>
      <c r="H7" t="s">
        <v>123</v>
      </c>
      <c r="I7" s="8">
        <v>760000</v>
      </c>
    </row>
    <row r="8" spans="2:9" x14ac:dyDescent="0.35">
      <c r="B8" s="1" t="s">
        <v>66</v>
      </c>
      <c r="C8" t="s">
        <v>18</v>
      </c>
      <c r="D8" t="s">
        <v>117</v>
      </c>
      <c r="E8" t="s">
        <v>124</v>
      </c>
      <c r="F8" t="s">
        <v>111</v>
      </c>
      <c r="G8" t="s">
        <v>115</v>
      </c>
      <c r="H8" t="s">
        <v>123</v>
      </c>
      <c r="I8" s="8">
        <v>520000</v>
      </c>
    </row>
    <row r="9" spans="2:9" x14ac:dyDescent="0.35">
      <c r="B9" s="1" t="s">
        <v>64</v>
      </c>
      <c r="C9" t="s">
        <v>19</v>
      </c>
      <c r="D9" t="s">
        <v>117</v>
      </c>
      <c r="E9" t="s">
        <v>124</v>
      </c>
      <c r="F9" t="s">
        <v>111</v>
      </c>
      <c r="G9" t="s">
        <v>115</v>
      </c>
      <c r="H9" t="s">
        <v>125</v>
      </c>
      <c r="I9" s="8">
        <v>720000</v>
      </c>
    </row>
    <row r="10" spans="2:9" x14ac:dyDescent="0.35">
      <c r="B10" s="1" t="s">
        <v>126</v>
      </c>
      <c r="C10" t="s">
        <v>127</v>
      </c>
      <c r="D10" t="s">
        <v>109</v>
      </c>
      <c r="E10" t="s">
        <v>128</v>
      </c>
      <c r="F10" t="s">
        <v>111</v>
      </c>
      <c r="G10" t="s">
        <v>119</v>
      </c>
      <c r="H10" t="s">
        <v>125</v>
      </c>
      <c r="I10" s="8">
        <v>630000</v>
      </c>
    </row>
    <row r="11" spans="2:9" x14ac:dyDescent="0.35">
      <c r="B11" s="1" t="s">
        <v>62</v>
      </c>
      <c r="C11" t="s">
        <v>63</v>
      </c>
      <c r="D11" t="s">
        <v>109</v>
      </c>
      <c r="E11" t="s">
        <v>129</v>
      </c>
      <c r="F11" t="s">
        <v>111</v>
      </c>
      <c r="G11" t="s">
        <v>115</v>
      </c>
      <c r="H11" t="s">
        <v>130</v>
      </c>
      <c r="I11" s="8">
        <v>635000</v>
      </c>
    </row>
    <row r="12" spans="2:9" x14ac:dyDescent="0.35">
      <c r="B12" s="1" t="s">
        <v>65</v>
      </c>
      <c r="C12" t="s">
        <v>15</v>
      </c>
      <c r="D12" t="s">
        <v>117</v>
      </c>
      <c r="E12" t="s">
        <v>118</v>
      </c>
      <c r="F12" t="s">
        <v>111</v>
      </c>
      <c r="G12" t="s">
        <v>119</v>
      </c>
      <c r="H12" t="s">
        <v>130</v>
      </c>
      <c r="I12" s="8">
        <v>620000</v>
      </c>
    </row>
    <row r="13" spans="2:9" x14ac:dyDescent="0.35">
      <c r="B13" s="1" t="s">
        <v>131</v>
      </c>
      <c r="C13" t="s">
        <v>132</v>
      </c>
      <c r="D13" t="s">
        <v>117</v>
      </c>
      <c r="E13" t="s">
        <v>133</v>
      </c>
      <c r="F13" t="s">
        <v>134</v>
      </c>
      <c r="G13" t="s">
        <v>115</v>
      </c>
      <c r="H13" t="s">
        <v>116</v>
      </c>
      <c r="I13" s="8">
        <v>660000</v>
      </c>
    </row>
    <row r="14" spans="2:9" x14ac:dyDescent="0.35">
      <c r="B14" s="2" t="s">
        <v>135</v>
      </c>
      <c r="C14" s="4" t="s">
        <v>136</v>
      </c>
      <c r="D14" s="4" t="s">
        <v>117</v>
      </c>
      <c r="E14" s="4" t="s">
        <v>133</v>
      </c>
      <c r="F14" s="4" t="s">
        <v>134</v>
      </c>
      <c r="G14" s="4" t="s">
        <v>115</v>
      </c>
      <c r="H14" s="4" t="s">
        <v>123</v>
      </c>
      <c r="I14" s="10">
        <v>550000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3D1B1-BB34-4C45-BDC8-758F81A8276C}">
  <dimension ref="A2:G13"/>
  <sheetViews>
    <sheetView workbookViewId="0">
      <selection activeCell="D13" sqref="D13"/>
    </sheetView>
  </sheetViews>
  <sheetFormatPr baseColWidth="10" defaultRowHeight="14.5" x14ac:dyDescent="0.35"/>
  <cols>
    <col min="1" max="1" width="7.81640625" customWidth="1"/>
    <col min="3" max="4" width="13.36328125" customWidth="1"/>
    <col min="5" max="5" width="12.36328125" customWidth="1"/>
    <col min="7" max="7" width="14.1796875" customWidth="1"/>
  </cols>
  <sheetData>
    <row r="2" spans="1:7" x14ac:dyDescent="0.35">
      <c r="B2" s="63" t="s">
        <v>159</v>
      </c>
    </row>
    <row r="3" spans="1:7" x14ac:dyDescent="0.35">
      <c r="G3" s="3" t="b">
        <v>1</v>
      </c>
    </row>
    <row r="4" spans="1:7" x14ac:dyDescent="0.35">
      <c r="B4" s="56" t="s">
        <v>34</v>
      </c>
      <c r="C4" s="57"/>
      <c r="D4" s="58"/>
    </row>
    <row r="5" spans="1:7" x14ac:dyDescent="0.35">
      <c r="B5" s="59"/>
      <c r="C5" s="60"/>
      <c r="D5" s="61"/>
      <c r="G5" s="3" t="b">
        <v>0</v>
      </c>
    </row>
    <row r="8" spans="1:7" x14ac:dyDescent="0.35">
      <c r="A8" s="64">
        <v>1</v>
      </c>
      <c r="B8" s="65" t="s">
        <v>160</v>
      </c>
      <c r="C8" s="65"/>
      <c r="D8" s="65"/>
    </row>
    <row r="9" spans="1:7" x14ac:dyDescent="0.35">
      <c r="B9" s="66" t="s">
        <v>161</v>
      </c>
      <c r="C9" s="66" t="s">
        <v>162</v>
      </c>
      <c r="D9" s="66" t="s">
        <v>163</v>
      </c>
    </row>
    <row r="10" spans="1:7" x14ac:dyDescent="0.35">
      <c r="B10" t="s">
        <v>164</v>
      </c>
      <c r="C10" s="67">
        <v>0.51</v>
      </c>
      <c r="D10" s="1" t="str">
        <f>IF(C10&gt;50%,"Factible","No Factible")</f>
        <v>Factible</v>
      </c>
    </row>
    <row r="12" spans="1:7" x14ac:dyDescent="0.35">
      <c r="A12" s="64">
        <v>2</v>
      </c>
      <c r="B12" s="2" t="s">
        <v>165</v>
      </c>
      <c r="C12" s="2" t="s">
        <v>166</v>
      </c>
      <c r="D12" s="2" t="s">
        <v>167</v>
      </c>
    </row>
    <row r="13" spans="1:7" x14ac:dyDescent="0.35">
      <c r="B13">
        <v>120</v>
      </c>
      <c r="C13" s="1">
        <v>0</v>
      </c>
      <c r="D13">
        <f>IF(C13&gt;0,B13/C13,0)</f>
        <v>0</v>
      </c>
    </row>
  </sheetData>
  <mergeCells count="2">
    <mergeCell ref="B4:D5"/>
    <mergeCell ref="B8:D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7EE06-2968-43A0-894C-006E36C74DB2}">
  <dimension ref="A2:K19"/>
  <sheetViews>
    <sheetView workbookViewId="0">
      <selection activeCell="F15" sqref="F15"/>
    </sheetView>
  </sheetViews>
  <sheetFormatPr baseColWidth="10" defaultColWidth="14.26953125" defaultRowHeight="14.5" x14ac:dyDescent="0.35"/>
  <cols>
    <col min="1" max="1" width="8.81640625" customWidth="1"/>
    <col min="3" max="3" width="21.6328125" customWidth="1"/>
    <col min="7" max="7" width="6.90625" customWidth="1"/>
    <col min="9" max="9" width="21.54296875" bestFit="1" customWidth="1"/>
  </cols>
  <sheetData>
    <row r="2" spans="1:11" x14ac:dyDescent="0.35">
      <c r="A2" s="64">
        <v>1</v>
      </c>
      <c r="B2" s="15" t="s">
        <v>3</v>
      </c>
      <c r="C2" s="12" t="s">
        <v>4</v>
      </c>
      <c r="D2" s="12" t="s">
        <v>35</v>
      </c>
      <c r="E2" s="16" t="s">
        <v>36</v>
      </c>
      <c r="G2" s="64">
        <v>2</v>
      </c>
      <c r="H2" s="15" t="s">
        <v>3</v>
      </c>
      <c r="I2" s="12" t="s">
        <v>4</v>
      </c>
      <c r="J2" s="12" t="s">
        <v>37</v>
      </c>
      <c r="K2" s="16" t="s">
        <v>38</v>
      </c>
    </row>
    <row r="3" spans="1:11" x14ac:dyDescent="0.35">
      <c r="B3" s="17" t="s">
        <v>5</v>
      </c>
      <c r="C3" t="s">
        <v>6</v>
      </c>
      <c r="D3" s="1" t="s">
        <v>39</v>
      </c>
      <c r="E3" s="18" t="str">
        <f>IF(D3="F","Femenino","Masculino")</f>
        <v>Femenino</v>
      </c>
      <c r="H3" s="17" t="s">
        <v>5</v>
      </c>
      <c r="I3" t="s">
        <v>6</v>
      </c>
      <c r="J3" s="7">
        <v>6</v>
      </c>
      <c r="K3" s="18" t="str">
        <f>IF(J3&gt;=4,"Aprobado","Reprobado")</f>
        <v>Aprobado</v>
      </c>
    </row>
    <row r="4" spans="1:11" x14ac:dyDescent="0.35">
      <c r="B4" s="17" t="s">
        <v>33</v>
      </c>
      <c r="C4" t="s">
        <v>17</v>
      </c>
      <c r="D4" s="1" t="s">
        <v>40</v>
      </c>
      <c r="E4" s="18" t="str">
        <f t="shared" ref="E4:E7" si="0">IF(D4="F","Femenino","Masculino")</f>
        <v>Masculino</v>
      </c>
      <c r="H4" s="17" t="s">
        <v>33</v>
      </c>
      <c r="I4" t="s">
        <v>17</v>
      </c>
      <c r="J4" s="7">
        <v>4</v>
      </c>
      <c r="K4" s="18" t="str">
        <f t="shared" ref="K4:K7" si="1">IF(J4&gt;=4,"Aprobado","Reprobado")</f>
        <v>Aprobado</v>
      </c>
    </row>
    <row r="5" spans="1:11" x14ac:dyDescent="0.35">
      <c r="B5" s="17" t="s">
        <v>8</v>
      </c>
      <c r="C5" t="s">
        <v>9</v>
      </c>
      <c r="D5" s="1" t="s">
        <v>39</v>
      </c>
      <c r="E5" s="18" t="str">
        <f t="shared" si="0"/>
        <v>Femenino</v>
      </c>
      <c r="H5" s="17" t="s">
        <v>8</v>
      </c>
      <c r="I5" t="s">
        <v>9</v>
      </c>
      <c r="J5" s="7">
        <v>3</v>
      </c>
      <c r="K5" s="18" t="str">
        <f t="shared" si="1"/>
        <v>Reprobado</v>
      </c>
    </row>
    <row r="6" spans="1:11" x14ac:dyDescent="0.35">
      <c r="B6" s="17" t="s">
        <v>41</v>
      </c>
      <c r="C6" t="s">
        <v>16</v>
      </c>
      <c r="D6" s="1" t="s">
        <v>40</v>
      </c>
      <c r="E6" s="18" t="str">
        <f t="shared" si="0"/>
        <v>Masculino</v>
      </c>
      <c r="H6" s="17" t="s">
        <v>41</v>
      </c>
      <c r="I6" t="s">
        <v>16</v>
      </c>
      <c r="J6" s="7">
        <v>2</v>
      </c>
      <c r="K6" s="18" t="str">
        <f t="shared" si="1"/>
        <v>Reprobado</v>
      </c>
    </row>
    <row r="7" spans="1:11" x14ac:dyDescent="0.35">
      <c r="B7" s="19" t="s">
        <v>42</v>
      </c>
      <c r="C7" s="4" t="s">
        <v>43</v>
      </c>
      <c r="D7" s="2" t="s">
        <v>40</v>
      </c>
      <c r="E7" s="20" t="str">
        <f t="shared" si="0"/>
        <v>Masculino</v>
      </c>
      <c r="H7" s="19" t="s">
        <v>42</v>
      </c>
      <c r="I7" s="4" t="s">
        <v>43</v>
      </c>
      <c r="J7" s="9">
        <v>5</v>
      </c>
      <c r="K7" s="20" t="str">
        <f t="shared" si="1"/>
        <v>Aprobado</v>
      </c>
    </row>
    <row r="10" spans="1:11" x14ac:dyDescent="0.35">
      <c r="A10" s="64">
        <v>3</v>
      </c>
      <c r="B10" s="15" t="s">
        <v>3</v>
      </c>
      <c r="C10" s="12" t="s">
        <v>4</v>
      </c>
      <c r="D10" s="12" t="s">
        <v>35</v>
      </c>
      <c r="E10" s="16" t="s">
        <v>44</v>
      </c>
      <c r="F10" s="23" t="s">
        <v>45</v>
      </c>
      <c r="G10" s="1"/>
    </row>
    <row r="11" spans="1:11" x14ac:dyDescent="0.35">
      <c r="B11" s="17" t="s">
        <v>5</v>
      </c>
      <c r="C11" t="s">
        <v>6</v>
      </c>
      <c r="D11" s="1" t="s">
        <v>39</v>
      </c>
      <c r="E11" s="21">
        <f>IF(D11="F",$E$18,$E$19)</f>
        <v>560000</v>
      </c>
      <c r="F11" s="21">
        <f>IF(D11="F",E11*$F$18,E11*$F$19)</f>
        <v>30800</v>
      </c>
    </row>
    <row r="12" spans="1:11" x14ac:dyDescent="0.35">
      <c r="B12" s="17" t="s">
        <v>33</v>
      </c>
      <c r="C12" t="s">
        <v>17</v>
      </c>
      <c r="D12" s="1" t="s">
        <v>40</v>
      </c>
      <c r="E12" s="21">
        <f t="shared" ref="E12:E15" si="2">IF(D12="F",$E$18,$E$19)</f>
        <v>555000</v>
      </c>
      <c r="F12" s="21">
        <f t="shared" ref="F12:F15" si="3">IF(D12="F",E12*$F$18,E12*$F$19)</f>
        <v>27750</v>
      </c>
    </row>
    <row r="13" spans="1:11" x14ac:dyDescent="0.35">
      <c r="B13" s="17" t="s">
        <v>8</v>
      </c>
      <c r="C13" t="s">
        <v>9</v>
      </c>
      <c r="D13" s="1" t="s">
        <v>39</v>
      </c>
      <c r="E13" s="21">
        <f t="shared" si="2"/>
        <v>560000</v>
      </c>
      <c r="F13" s="21">
        <f t="shared" si="3"/>
        <v>30800</v>
      </c>
    </row>
    <row r="14" spans="1:11" x14ac:dyDescent="0.35">
      <c r="B14" s="17" t="s">
        <v>41</v>
      </c>
      <c r="C14" t="s">
        <v>16</v>
      </c>
      <c r="D14" s="1" t="s">
        <v>40</v>
      </c>
      <c r="E14" s="21">
        <f t="shared" si="2"/>
        <v>555000</v>
      </c>
      <c r="F14" s="21">
        <f t="shared" si="3"/>
        <v>27750</v>
      </c>
    </row>
    <row r="15" spans="1:11" x14ac:dyDescent="0.35">
      <c r="B15" s="19" t="s">
        <v>42</v>
      </c>
      <c r="C15" s="4" t="s">
        <v>43</v>
      </c>
      <c r="D15" s="2" t="s">
        <v>40</v>
      </c>
      <c r="E15" s="22">
        <f t="shared" si="2"/>
        <v>555000</v>
      </c>
      <c r="F15" s="6">
        <f t="shared" si="3"/>
        <v>27750</v>
      </c>
    </row>
    <row r="17" spans="4:6" x14ac:dyDescent="0.35">
      <c r="D17" s="23" t="s">
        <v>35</v>
      </c>
      <c r="E17" s="16" t="s">
        <v>46</v>
      </c>
      <c r="F17" s="16" t="s">
        <v>47</v>
      </c>
    </row>
    <row r="18" spans="4:6" x14ac:dyDescent="0.35">
      <c r="D18" s="5" t="s">
        <v>39</v>
      </c>
      <c r="E18" s="24">
        <v>560000</v>
      </c>
      <c r="F18" s="25">
        <v>5.5E-2</v>
      </c>
    </row>
    <row r="19" spans="4:6" x14ac:dyDescent="0.35">
      <c r="D19" s="5" t="s">
        <v>40</v>
      </c>
      <c r="E19" s="24">
        <v>555000</v>
      </c>
      <c r="F19" s="26">
        <v>0.05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783DB-C299-477F-839D-58353511628D}">
  <sheetPr>
    <tabColor theme="8" tint="0.39997558519241921"/>
  </sheetPr>
  <dimension ref="B2:G16"/>
  <sheetViews>
    <sheetView workbookViewId="0">
      <selection activeCell="G3" sqref="G3"/>
    </sheetView>
  </sheetViews>
  <sheetFormatPr baseColWidth="10" defaultRowHeight="14.5" x14ac:dyDescent="0.35"/>
  <cols>
    <col min="2" max="2" width="24.36328125" bestFit="1" customWidth="1"/>
  </cols>
  <sheetData>
    <row r="2" spans="2:7" x14ac:dyDescent="0.35">
      <c r="B2" s="13" t="s">
        <v>10</v>
      </c>
      <c r="C2" s="14" t="s">
        <v>11</v>
      </c>
      <c r="D2" s="14" t="s">
        <v>0</v>
      </c>
      <c r="E2" s="14" t="s">
        <v>1</v>
      </c>
      <c r="F2" s="14" t="s">
        <v>2</v>
      </c>
      <c r="G2" s="14" t="s">
        <v>48</v>
      </c>
    </row>
    <row r="3" spans="2:7" x14ac:dyDescent="0.35">
      <c r="B3" t="s">
        <v>7</v>
      </c>
      <c r="C3" t="s">
        <v>12</v>
      </c>
      <c r="D3" s="8">
        <v>4108792</v>
      </c>
      <c r="E3" s="8">
        <v>3761993</v>
      </c>
      <c r="F3" s="8">
        <f>SUM(D3:E3)</f>
        <v>7870785</v>
      </c>
      <c r="G3" s="8">
        <f>IF(C3="Norte",F3*'Param Ref.'!$C$3,F3*'Param Ref.'!$C$4)</f>
        <v>432893.17499999999</v>
      </c>
    </row>
    <row r="4" spans="2:7" x14ac:dyDescent="0.35">
      <c r="B4" t="s">
        <v>9</v>
      </c>
      <c r="C4" t="s">
        <v>13</v>
      </c>
      <c r="D4" s="8">
        <v>2826258</v>
      </c>
      <c r="E4" s="8">
        <v>5452833</v>
      </c>
      <c r="F4" s="8">
        <f t="shared" ref="F4:F16" si="0">SUM(D4:E4)</f>
        <v>8279091</v>
      </c>
      <c r="G4" s="8">
        <f>IF(C4="Norte",F4*'Param Ref.'!$C$3,F4*'Param Ref.'!$C$4)</f>
        <v>538140.91500000004</v>
      </c>
    </row>
    <row r="5" spans="2:7" x14ac:dyDescent="0.35">
      <c r="B5" t="s">
        <v>15</v>
      </c>
      <c r="C5" t="s">
        <v>12</v>
      </c>
      <c r="D5" s="8">
        <v>7407818</v>
      </c>
      <c r="E5" s="8">
        <v>3157745</v>
      </c>
      <c r="F5" s="8">
        <f t="shared" si="0"/>
        <v>10565563</v>
      </c>
      <c r="G5" s="8">
        <f>IF(C5="Norte",F5*'Param Ref.'!$C$3,F5*'Param Ref.'!$C$4)</f>
        <v>581105.96499999997</v>
      </c>
    </row>
    <row r="6" spans="2:7" x14ac:dyDescent="0.35">
      <c r="B6" t="s">
        <v>16</v>
      </c>
      <c r="C6" t="s">
        <v>12</v>
      </c>
      <c r="D6" s="8">
        <v>4358000</v>
      </c>
      <c r="E6" s="8">
        <v>8426000</v>
      </c>
      <c r="F6" s="8">
        <f t="shared" si="0"/>
        <v>12784000</v>
      </c>
      <c r="G6" s="8">
        <f>IF(C6="Norte",F6*'Param Ref.'!$C$3,F6*'Param Ref.'!$C$4)</f>
        <v>703120</v>
      </c>
    </row>
    <row r="7" spans="2:7" x14ac:dyDescent="0.35">
      <c r="B7" t="s">
        <v>17</v>
      </c>
      <c r="C7" t="s">
        <v>13</v>
      </c>
      <c r="D7" s="8">
        <v>1130677</v>
      </c>
      <c r="E7" s="8">
        <v>5067890</v>
      </c>
      <c r="F7" s="8">
        <f t="shared" si="0"/>
        <v>6198567</v>
      </c>
      <c r="G7" s="8">
        <f>IF(C7="Norte",F7*'Param Ref.'!$C$3,F7*'Param Ref.'!$C$4)</f>
        <v>402906.85500000004</v>
      </c>
    </row>
    <row r="8" spans="2:7" x14ac:dyDescent="0.35">
      <c r="B8" t="s">
        <v>18</v>
      </c>
      <c r="C8" t="s">
        <v>12</v>
      </c>
      <c r="D8" s="8">
        <v>6906087</v>
      </c>
      <c r="E8" s="8">
        <v>3885627</v>
      </c>
      <c r="F8" s="8">
        <f t="shared" si="0"/>
        <v>10791714</v>
      </c>
      <c r="G8" s="8">
        <f>IF(C8="Norte",F8*'Param Ref.'!$C$3,F8*'Param Ref.'!$C$4)</f>
        <v>593544.27</v>
      </c>
    </row>
    <row r="9" spans="2:7" x14ac:dyDescent="0.35">
      <c r="B9" t="s">
        <v>19</v>
      </c>
      <c r="C9" t="s">
        <v>13</v>
      </c>
      <c r="D9" s="8">
        <v>1990275</v>
      </c>
      <c r="E9" s="8">
        <v>1632192</v>
      </c>
      <c r="F9" s="8">
        <f t="shared" si="0"/>
        <v>3622467</v>
      </c>
      <c r="G9" s="8">
        <f>IF(C9="Norte",F9*'Param Ref.'!$C$3,F9*'Param Ref.'!$C$4)</f>
        <v>235460.35500000001</v>
      </c>
    </row>
    <row r="10" spans="2:7" x14ac:dyDescent="0.35">
      <c r="B10" t="s">
        <v>6</v>
      </c>
      <c r="C10" t="s">
        <v>12</v>
      </c>
      <c r="D10" s="8">
        <v>2345876</v>
      </c>
      <c r="E10" s="8">
        <v>5762571</v>
      </c>
      <c r="F10" s="8">
        <f t="shared" si="0"/>
        <v>8108447</v>
      </c>
      <c r="G10" s="8">
        <f>IF(C10="Norte",F10*'Param Ref.'!$C$3,F10*'Param Ref.'!$C$4)</f>
        <v>445964.58500000002</v>
      </c>
    </row>
    <row r="11" spans="2:7" x14ac:dyDescent="0.35">
      <c r="B11" t="s">
        <v>20</v>
      </c>
      <c r="C11" t="s">
        <v>13</v>
      </c>
      <c r="D11" s="8">
        <v>4297000</v>
      </c>
      <c r="E11" s="8">
        <v>10052000</v>
      </c>
      <c r="F11" s="8">
        <f t="shared" si="0"/>
        <v>14349000</v>
      </c>
      <c r="G11" s="8">
        <f>IF(C11="Norte",F11*'Param Ref.'!$C$3,F11*'Param Ref.'!$C$4)</f>
        <v>932685</v>
      </c>
    </row>
    <row r="12" spans="2:7" x14ac:dyDescent="0.35">
      <c r="B12" t="s">
        <v>21</v>
      </c>
      <c r="C12" t="s">
        <v>13</v>
      </c>
      <c r="D12" s="8">
        <v>5000000</v>
      </c>
      <c r="E12" s="8">
        <v>4470000</v>
      </c>
      <c r="F12" s="8">
        <f t="shared" si="0"/>
        <v>9470000</v>
      </c>
      <c r="G12" s="8">
        <f>IF(C12="Norte",F12*'Param Ref.'!$C$3,F12*'Param Ref.'!$C$4)</f>
        <v>615550</v>
      </c>
    </row>
    <row r="13" spans="2:7" x14ac:dyDescent="0.35">
      <c r="B13" t="s">
        <v>22</v>
      </c>
      <c r="C13" t="s">
        <v>12</v>
      </c>
      <c r="D13" s="8">
        <v>8731335</v>
      </c>
      <c r="E13" s="8">
        <v>2453000</v>
      </c>
      <c r="F13" s="8">
        <f t="shared" si="0"/>
        <v>11184335</v>
      </c>
      <c r="G13" s="8">
        <f>IF(C13="Norte",F13*'Param Ref.'!$C$3,F13*'Param Ref.'!$C$4)</f>
        <v>615138.42500000005</v>
      </c>
    </row>
    <row r="14" spans="2:7" x14ac:dyDescent="0.35">
      <c r="B14" t="s">
        <v>23</v>
      </c>
      <c r="C14" t="s">
        <v>13</v>
      </c>
      <c r="D14" s="8">
        <v>5877136</v>
      </c>
      <c r="E14" s="8">
        <v>4488758</v>
      </c>
      <c r="F14" s="8">
        <f t="shared" si="0"/>
        <v>10365894</v>
      </c>
      <c r="G14" s="8">
        <f>IF(C14="Norte",F14*'Param Ref.'!$C$3,F14*'Param Ref.'!$C$4)</f>
        <v>673783.11</v>
      </c>
    </row>
    <row r="15" spans="2:7" x14ac:dyDescent="0.35">
      <c r="B15" t="s">
        <v>24</v>
      </c>
      <c r="C15" t="s">
        <v>12</v>
      </c>
      <c r="D15" s="8">
        <v>1544000</v>
      </c>
      <c r="E15" s="8">
        <v>8152991</v>
      </c>
      <c r="F15" s="8">
        <f t="shared" si="0"/>
        <v>9696991</v>
      </c>
      <c r="G15" s="8">
        <f>IF(C15="Norte",F15*'Param Ref.'!$C$3,F15*'Param Ref.'!$C$4)</f>
        <v>533334.505</v>
      </c>
    </row>
    <row r="16" spans="2:7" x14ac:dyDescent="0.35">
      <c r="B16" s="4" t="s">
        <v>25</v>
      </c>
      <c r="C16" s="4" t="s">
        <v>13</v>
      </c>
      <c r="D16" s="10">
        <v>1557269</v>
      </c>
      <c r="E16" s="10">
        <v>7749360</v>
      </c>
      <c r="F16" s="10">
        <f t="shared" si="0"/>
        <v>9306629</v>
      </c>
      <c r="G16" s="10">
        <f>IF(C16="Norte",F16*'Param Ref.'!$C$3,F16*'Param Ref.'!$C$4)</f>
        <v>604930.88500000001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BB4FC-AF0D-48DE-91DC-E7E914C096DD}">
  <sheetPr>
    <tabColor theme="8" tint="0.39997558519241921"/>
  </sheetPr>
  <dimension ref="B2:C4"/>
  <sheetViews>
    <sheetView workbookViewId="0">
      <selection activeCell="C4" sqref="C4"/>
    </sheetView>
  </sheetViews>
  <sheetFormatPr baseColWidth="10" defaultRowHeight="14.5" x14ac:dyDescent="0.35"/>
  <sheetData>
    <row r="2" spans="2:3" x14ac:dyDescent="0.35">
      <c r="B2" s="27" t="s">
        <v>11</v>
      </c>
      <c r="C2" s="27" t="s">
        <v>49</v>
      </c>
    </row>
    <row r="3" spans="2:3" x14ac:dyDescent="0.35">
      <c r="B3" s="3" t="s">
        <v>12</v>
      </c>
      <c r="C3" s="11">
        <v>5.5E-2</v>
      </c>
    </row>
    <row r="4" spans="2:3" x14ac:dyDescent="0.35">
      <c r="B4" s="3" t="s">
        <v>13</v>
      </c>
      <c r="C4" s="11">
        <v>6.5000000000000002E-2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6CC5D-0758-4524-A962-9B9C8FCB843F}">
  <dimension ref="B2:N18"/>
  <sheetViews>
    <sheetView workbookViewId="0">
      <selection activeCell="K17" sqref="K17"/>
    </sheetView>
  </sheetViews>
  <sheetFormatPr baseColWidth="10" defaultRowHeight="14.5" x14ac:dyDescent="0.35"/>
  <cols>
    <col min="1" max="1" width="3.54296875" customWidth="1"/>
    <col min="2" max="2" width="12.54296875" customWidth="1"/>
    <col min="3" max="3" width="24.1796875" customWidth="1"/>
    <col min="4" max="4" width="7" customWidth="1"/>
    <col min="5" max="5" width="11.54296875" customWidth="1"/>
    <col min="8" max="8" width="14.1796875" customWidth="1"/>
    <col min="10" max="10" width="9.1796875" customWidth="1"/>
    <col min="11" max="11" width="6.26953125" customWidth="1"/>
    <col min="12" max="13" width="11" customWidth="1"/>
  </cols>
  <sheetData>
    <row r="2" spans="2:14" x14ac:dyDescent="0.35">
      <c r="B2" s="28" t="s">
        <v>3</v>
      </c>
      <c r="C2" s="29" t="s">
        <v>51</v>
      </c>
      <c r="D2" s="28" t="s">
        <v>35</v>
      </c>
      <c r="E2" s="30" t="s">
        <v>44</v>
      </c>
      <c r="F2" s="30" t="s">
        <v>52</v>
      </c>
      <c r="G2" s="30" t="s">
        <v>53</v>
      </c>
      <c r="H2" s="28" t="s">
        <v>54</v>
      </c>
      <c r="I2" s="30" t="s">
        <v>55</v>
      </c>
    </row>
    <row r="3" spans="2:14" x14ac:dyDescent="0.35">
      <c r="B3" s="1" t="s">
        <v>5</v>
      </c>
      <c r="C3" t="s">
        <v>6</v>
      </c>
      <c r="D3" s="1" t="s">
        <v>39</v>
      </c>
      <c r="E3" s="8">
        <f>IF(D3="F",$M$4,$M$5)</f>
        <v>610000</v>
      </c>
      <c r="F3" s="8">
        <f>IF(D3="F",$N$4,$N$5)</f>
        <v>92500</v>
      </c>
      <c r="G3" s="8">
        <f>E3+F3</f>
        <v>702500</v>
      </c>
      <c r="H3" s="8">
        <f>G3*$M$7</f>
        <v>96593.750000000015</v>
      </c>
      <c r="I3" s="8">
        <f>G3-H3</f>
        <v>605906.25</v>
      </c>
      <c r="L3" s="31" t="s">
        <v>35</v>
      </c>
      <c r="M3" s="31" t="s">
        <v>44</v>
      </c>
      <c r="N3" s="31" t="s">
        <v>52</v>
      </c>
    </row>
    <row r="4" spans="2:14" x14ac:dyDescent="0.35">
      <c r="B4" s="1" t="s">
        <v>33</v>
      </c>
      <c r="C4" t="s">
        <v>17</v>
      </c>
      <c r="D4" s="1" t="s">
        <v>40</v>
      </c>
      <c r="E4" s="8">
        <f t="shared" ref="E4:E15" si="0">IF(D4="F",$M$4,$M$5)</f>
        <v>605000</v>
      </c>
      <c r="F4" s="8">
        <f t="shared" ref="F4:F15" si="1">IF(D4="F",$N$4,$N$5)</f>
        <v>90000</v>
      </c>
      <c r="G4" s="8">
        <f t="shared" ref="G4:G15" si="2">E4+F4</f>
        <v>695000</v>
      </c>
      <c r="H4" s="8">
        <f t="shared" ref="H4:H15" si="3">G4*$M$7</f>
        <v>95562.500000000015</v>
      </c>
      <c r="I4" s="8">
        <f t="shared" ref="I4:I15" si="4">G4-H4</f>
        <v>599437.5</v>
      </c>
      <c r="L4" s="5" t="s">
        <v>39</v>
      </c>
      <c r="M4" s="32">
        <v>610000</v>
      </c>
      <c r="N4" s="32">
        <v>92500</v>
      </c>
    </row>
    <row r="5" spans="2:14" x14ac:dyDescent="0.35">
      <c r="B5" s="1" t="s">
        <v>56</v>
      </c>
      <c r="C5" t="s">
        <v>7</v>
      </c>
      <c r="D5" s="1" t="s">
        <v>39</v>
      </c>
      <c r="E5" s="8">
        <f t="shared" si="0"/>
        <v>610000</v>
      </c>
      <c r="F5" s="8">
        <f t="shared" si="1"/>
        <v>92500</v>
      </c>
      <c r="G5" s="8">
        <f t="shared" si="2"/>
        <v>702500</v>
      </c>
      <c r="H5" s="8">
        <f t="shared" si="3"/>
        <v>96593.750000000015</v>
      </c>
      <c r="I5" s="8">
        <f t="shared" si="4"/>
        <v>605906.25</v>
      </c>
      <c r="L5" s="5" t="s">
        <v>40</v>
      </c>
      <c r="M5" s="32">
        <v>605000</v>
      </c>
      <c r="N5" s="32">
        <v>90000</v>
      </c>
    </row>
    <row r="6" spans="2:14" x14ac:dyDescent="0.35">
      <c r="B6" s="1" t="s">
        <v>57</v>
      </c>
      <c r="C6" t="s">
        <v>58</v>
      </c>
      <c r="D6" s="1" t="s">
        <v>40</v>
      </c>
      <c r="E6" s="8">
        <f t="shared" si="0"/>
        <v>605000</v>
      </c>
      <c r="F6" s="8">
        <f t="shared" si="1"/>
        <v>90000</v>
      </c>
      <c r="G6" s="8">
        <f t="shared" si="2"/>
        <v>695000</v>
      </c>
      <c r="H6" s="8">
        <f t="shared" si="3"/>
        <v>95562.500000000015</v>
      </c>
      <c r="I6" s="8">
        <f t="shared" si="4"/>
        <v>599437.5</v>
      </c>
    </row>
    <row r="7" spans="2:14" x14ac:dyDescent="0.35">
      <c r="B7" s="1" t="s">
        <v>59</v>
      </c>
      <c r="C7" t="s">
        <v>60</v>
      </c>
      <c r="D7" s="1" t="s">
        <v>39</v>
      </c>
      <c r="E7" s="8">
        <f t="shared" si="0"/>
        <v>610000</v>
      </c>
      <c r="F7" s="8">
        <f t="shared" si="1"/>
        <v>92500</v>
      </c>
      <c r="G7" s="8">
        <f t="shared" si="2"/>
        <v>702500</v>
      </c>
      <c r="H7" s="8">
        <f t="shared" si="3"/>
        <v>96593.750000000015</v>
      </c>
      <c r="I7" s="8">
        <f t="shared" si="4"/>
        <v>605906.25</v>
      </c>
      <c r="L7" s="31" t="s">
        <v>54</v>
      </c>
      <c r="M7" s="11">
        <v>0.13750000000000001</v>
      </c>
    </row>
    <row r="8" spans="2:14" x14ac:dyDescent="0.35">
      <c r="B8" s="1" t="s">
        <v>61</v>
      </c>
      <c r="C8" t="s">
        <v>22</v>
      </c>
      <c r="D8" s="1" t="s">
        <v>40</v>
      </c>
      <c r="E8" s="8">
        <f t="shared" si="0"/>
        <v>605000</v>
      </c>
      <c r="F8" s="8">
        <f t="shared" si="1"/>
        <v>90000</v>
      </c>
      <c r="G8" s="8">
        <f t="shared" si="2"/>
        <v>695000</v>
      </c>
      <c r="H8" s="8">
        <f t="shared" si="3"/>
        <v>95562.500000000015</v>
      </c>
      <c r="I8" s="8">
        <f t="shared" si="4"/>
        <v>599437.5</v>
      </c>
    </row>
    <row r="9" spans="2:14" x14ac:dyDescent="0.35">
      <c r="B9" s="1" t="s">
        <v>62</v>
      </c>
      <c r="C9" t="s">
        <v>63</v>
      </c>
      <c r="D9" s="1" t="s">
        <v>39</v>
      </c>
      <c r="E9" s="8">
        <f t="shared" si="0"/>
        <v>610000</v>
      </c>
      <c r="F9" s="8">
        <f t="shared" si="1"/>
        <v>92500</v>
      </c>
      <c r="G9" s="8">
        <f t="shared" si="2"/>
        <v>702500</v>
      </c>
      <c r="H9" s="8">
        <f t="shared" si="3"/>
        <v>96593.750000000015</v>
      </c>
      <c r="I9" s="8">
        <f t="shared" si="4"/>
        <v>605906.25</v>
      </c>
    </row>
    <row r="10" spans="2:14" x14ac:dyDescent="0.35">
      <c r="B10" s="1" t="s">
        <v>64</v>
      </c>
      <c r="C10" t="s">
        <v>19</v>
      </c>
      <c r="D10" s="1" t="s">
        <v>40</v>
      </c>
      <c r="E10" s="8">
        <f t="shared" si="0"/>
        <v>605000</v>
      </c>
      <c r="F10" s="8">
        <f t="shared" si="1"/>
        <v>90000</v>
      </c>
      <c r="G10" s="8">
        <f t="shared" si="2"/>
        <v>695000</v>
      </c>
      <c r="H10" s="8">
        <f t="shared" si="3"/>
        <v>95562.500000000015</v>
      </c>
      <c r="I10" s="8">
        <f t="shared" si="4"/>
        <v>599437.5</v>
      </c>
    </row>
    <row r="11" spans="2:14" x14ac:dyDescent="0.35">
      <c r="B11" s="1" t="s">
        <v>65</v>
      </c>
      <c r="C11" t="s">
        <v>15</v>
      </c>
      <c r="D11" s="1" t="s">
        <v>39</v>
      </c>
      <c r="E11" s="8">
        <f t="shared" si="0"/>
        <v>610000</v>
      </c>
      <c r="F11" s="8">
        <f t="shared" si="1"/>
        <v>92500</v>
      </c>
      <c r="G11" s="8">
        <f t="shared" si="2"/>
        <v>702500</v>
      </c>
      <c r="H11" s="8">
        <f t="shared" si="3"/>
        <v>96593.750000000015</v>
      </c>
      <c r="I11" s="8">
        <f t="shared" si="4"/>
        <v>605906.25</v>
      </c>
    </row>
    <row r="12" spans="2:14" x14ac:dyDescent="0.35">
      <c r="B12" s="1" t="s">
        <v>66</v>
      </c>
      <c r="C12" t="s">
        <v>18</v>
      </c>
      <c r="D12" s="1" t="s">
        <v>40</v>
      </c>
      <c r="E12" s="8">
        <f t="shared" si="0"/>
        <v>605000</v>
      </c>
      <c r="F12" s="8">
        <f t="shared" si="1"/>
        <v>90000</v>
      </c>
      <c r="G12" s="8">
        <f t="shared" si="2"/>
        <v>695000</v>
      </c>
      <c r="H12" s="8">
        <f t="shared" si="3"/>
        <v>95562.500000000015</v>
      </c>
      <c r="I12" s="8">
        <f t="shared" si="4"/>
        <v>599437.5</v>
      </c>
    </row>
    <row r="13" spans="2:14" x14ac:dyDescent="0.35">
      <c r="B13" s="1" t="s">
        <v>67</v>
      </c>
      <c r="C13" t="s">
        <v>68</v>
      </c>
      <c r="D13" s="1" t="s">
        <v>40</v>
      </c>
      <c r="E13" s="8">
        <f t="shared" si="0"/>
        <v>605000</v>
      </c>
      <c r="F13" s="8">
        <f t="shared" si="1"/>
        <v>90000</v>
      </c>
      <c r="G13" s="8">
        <f t="shared" si="2"/>
        <v>695000</v>
      </c>
      <c r="H13" s="8">
        <f t="shared" si="3"/>
        <v>95562.500000000015</v>
      </c>
      <c r="I13" s="8">
        <f t="shared" si="4"/>
        <v>599437.5</v>
      </c>
    </row>
    <row r="14" spans="2:14" x14ac:dyDescent="0.35">
      <c r="B14" s="1" t="s">
        <v>69</v>
      </c>
      <c r="C14" t="s">
        <v>70</v>
      </c>
      <c r="D14" s="1" t="s">
        <v>40</v>
      </c>
      <c r="E14" s="8">
        <f t="shared" si="0"/>
        <v>605000</v>
      </c>
      <c r="F14" s="8">
        <f t="shared" si="1"/>
        <v>90000</v>
      </c>
      <c r="G14" s="8">
        <f t="shared" si="2"/>
        <v>695000</v>
      </c>
      <c r="H14" s="8">
        <f t="shared" si="3"/>
        <v>95562.500000000015</v>
      </c>
      <c r="I14" s="8">
        <f t="shared" si="4"/>
        <v>599437.5</v>
      </c>
    </row>
    <row r="15" spans="2:14" x14ac:dyDescent="0.35">
      <c r="B15" s="2" t="s">
        <v>71</v>
      </c>
      <c r="C15" s="4" t="s">
        <v>72</v>
      </c>
      <c r="D15" s="2" t="s">
        <v>40</v>
      </c>
      <c r="E15" s="10">
        <f t="shared" si="0"/>
        <v>605000</v>
      </c>
      <c r="F15" s="10">
        <f t="shared" si="1"/>
        <v>90000</v>
      </c>
      <c r="G15" s="10">
        <f t="shared" si="2"/>
        <v>695000</v>
      </c>
      <c r="H15" s="10">
        <f t="shared" si="3"/>
        <v>95562.500000000015</v>
      </c>
      <c r="I15" s="10">
        <f t="shared" si="4"/>
        <v>599437.5</v>
      </c>
    </row>
    <row r="17" spans="3:9" ht="15" thickBot="1" x14ac:dyDescent="0.4">
      <c r="C17" s="4" t="s">
        <v>73</v>
      </c>
      <c r="E17" s="33">
        <f>SUM(E3:E15)</f>
        <v>7890000</v>
      </c>
      <c r="F17" s="33">
        <f t="shared" ref="F17:I17" si="5">SUM(F3:F15)</f>
        <v>1182500</v>
      </c>
      <c r="G17" s="33">
        <f t="shared" si="5"/>
        <v>9072500</v>
      </c>
      <c r="H17" s="33">
        <f t="shared" si="5"/>
        <v>1247468.7500000002</v>
      </c>
      <c r="I17" s="33">
        <f t="shared" si="5"/>
        <v>7825031.25</v>
      </c>
    </row>
    <row r="18" spans="3:9" ht="15" thickTop="1" x14ac:dyDescent="0.35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7E677-BFCF-4726-B069-D5DA82EF542D}">
  <sheetPr>
    <tabColor theme="7" tint="0.59999389629810485"/>
  </sheetPr>
  <dimension ref="A1:I16"/>
  <sheetViews>
    <sheetView workbookViewId="0">
      <selection activeCell="G2" sqref="G2"/>
    </sheetView>
  </sheetViews>
  <sheetFormatPr baseColWidth="10" defaultColWidth="9.1796875" defaultRowHeight="14.5" x14ac:dyDescent="0.35"/>
  <cols>
    <col min="1" max="1" width="7.90625" customWidth="1"/>
    <col min="2" max="2" width="33.08984375" customWidth="1"/>
    <col min="3" max="3" width="18.54296875" customWidth="1"/>
    <col min="4" max="4" width="11.26953125" customWidth="1"/>
    <col min="5" max="5" width="13.453125" customWidth="1"/>
    <col min="6" max="6" width="14" customWidth="1"/>
    <col min="7" max="7" width="13.453125" customWidth="1"/>
    <col min="8" max="8" width="12.7265625" customWidth="1"/>
    <col min="9" max="9" width="14" customWidth="1"/>
  </cols>
  <sheetData>
    <row r="1" spans="1:9" x14ac:dyDescent="0.35">
      <c r="A1" s="34" t="s">
        <v>74</v>
      </c>
      <c r="B1" s="35" t="s">
        <v>75</v>
      </c>
      <c r="C1" s="35" t="s">
        <v>76</v>
      </c>
      <c r="D1" s="36" t="s">
        <v>77</v>
      </c>
      <c r="E1" s="34" t="s">
        <v>78</v>
      </c>
      <c r="F1" s="34" t="s">
        <v>79</v>
      </c>
      <c r="G1" s="34" t="s">
        <v>80</v>
      </c>
      <c r="H1" s="34" t="s">
        <v>81</v>
      </c>
      <c r="I1" s="37" t="s">
        <v>168</v>
      </c>
    </row>
    <row r="2" spans="1:9" x14ac:dyDescent="0.35">
      <c r="A2" s="38">
        <v>1</v>
      </c>
      <c r="B2" s="39" t="s">
        <v>82</v>
      </c>
      <c r="C2" s="39" t="s">
        <v>83</v>
      </c>
      <c r="D2">
        <v>10</v>
      </c>
      <c r="E2" s="40">
        <v>5.23</v>
      </c>
      <c r="F2" s="41">
        <f>E2*'Param Ref. II'!$C$6</f>
        <v>4709.9078800000007</v>
      </c>
      <c r="G2" s="8">
        <f>IF(C2="CONDIMENTOS",F2*'Param Ref. II'!$C$3,0)</f>
        <v>0</v>
      </c>
      <c r="H2" s="8">
        <f>F2-G2</f>
        <v>4709.9078800000007</v>
      </c>
      <c r="I2" s="8">
        <f>H2*D2</f>
        <v>47099.078800000003</v>
      </c>
    </row>
    <row r="3" spans="1:9" x14ac:dyDescent="0.35">
      <c r="A3" s="38">
        <v>2</v>
      </c>
      <c r="B3" s="39" t="s">
        <v>84</v>
      </c>
      <c r="C3" s="39" t="s">
        <v>83</v>
      </c>
      <c r="D3">
        <v>20</v>
      </c>
      <c r="E3" s="40">
        <v>5.12</v>
      </c>
      <c r="F3" s="41">
        <f>E3*'Param Ref. II'!$C$6</f>
        <v>4610.8467200000005</v>
      </c>
      <c r="G3" s="8">
        <f>IF(C3="CONDIMENTOS",F3*'Param Ref. II'!$C$3,0)</f>
        <v>0</v>
      </c>
      <c r="H3" s="8">
        <f t="shared" ref="H3:H13" si="0">F3-G3</f>
        <v>4610.8467200000005</v>
      </c>
      <c r="I3" s="8">
        <f t="shared" ref="I3:I13" si="1">H3*D3</f>
        <v>92216.934400000013</v>
      </c>
    </row>
    <row r="4" spans="1:9" x14ac:dyDescent="0.35">
      <c r="A4" s="38">
        <v>3</v>
      </c>
      <c r="B4" s="39" t="s">
        <v>85</v>
      </c>
      <c r="C4" s="39" t="s">
        <v>86</v>
      </c>
      <c r="D4">
        <v>5</v>
      </c>
      <c r="E4" s="40">
        <v>3.58</v>
      </c>
      <c r="F4" s="41">
        <f>E4*'Param Ref. II'!$C$6</f>
        <v>3223.9904800000004</v>
      </c>
      <c r="G4" s="8">
        <f>IF(C4="CONDIMENTOS",F4*'Param Ref. II'!$C$3,0)</f>
        <v>177.31947640000001</v>
      </c>
      <c r="H4" s="8">
        <f t="shared" si="0"/>
        <v>3046.6710036000004</v>
      </c>
      <c r="I4" s="8">
        <f t="shared" si="1"/>
        <v>15233.355018000002</v>
      </c>
    </row>
    <row r="5" spans="1:9" x14ac:dyDescent="0.35">
      <c r="A5" s="38">
        <v>4</v>
      </c>
      <c r="B5" s="39" t="s">
        <v>87</v>
      </c>
      <c r="C5" s="39" t="s">
        <v>86</v>
      </c>
      <c r="D5">
        <v>10</v>
      </c>
      <c r="E5" s="40">
        <v>2.15</v>
      </c>
      <c r="F5" s="41">
        <f>E5*'Param Ref. II'!$C$6</f>
        <v>1936.1954000000001</v>
      </c>
      <c r="G5" s="8">
        <f>IF(C5="CONDIMENTOS",F5*'Param Ref. II'!$C$3,0)</f>
        <v>106.490747</v>
      </c>
      <c r="H5" s="8">
        <f t="shared" si="0"/>
        <v>1829.704653</v>
      </c>
      <c r="I5" s="8">
        <f t="shared" si="1"/>
        <v>18297.04653</v>
      </c>
    </row>
    <row r="6" spans="1:9" x14ac:dyDescent="0.35">
      <c r="A6" s="38">
        <v>8</v>
      </c>
      <c r="B6" s="39" t="s">
        <v>88</v>
      </c>
      <c r="C6" s="39" t="s">
        <v>86</v>
      </c>
      <c r="D6">
        <v>10</v>
      </c>
      <c r="E6" s="40">
        <v>6.75</v>
      </c>
      <c r="F6" s="41">
        <f>E6*'Param Ref. II'!$C$6</f>
        <v>6078.7530000000006</v>
      </c>
      <c r="G6" s="8">
        <f>IF(C6="CONDIMENTOS",F6*'Param Ref. II'!$C$3,0)</f>
        <v>334.33141500000005</v>
      </c>
      <c r="H6" s="8">
        <f t="shared" si="0"/>
        <v>5744.421585000001</v>
      </c>
      <c r="I6" s="8">
        <f t="shared" si="1"/>
        <v>57444.215850000008</v>
      </c>
    </row>
    <row r="7" spans="1:9" x14ac:dyDescent="0.35">
      <c r="A7" s="38">
        <v>9</v>
      </c>
      <c r="B7" s="39" t="s">
        <v>89</v>
      </c>
      <c r="C7" s="39" t="s">
        <v>90</v>
      </c>
      <c r="D7">
        <v>12</v>
      </c>
      <c r="E7" s="40">
        <v>2.83</v>
      </c>
      <c r="F7" s="41">
        <f>E7*'Param Ref. II'!$C$6</f>
        <v>2548.57348</v>
      </c>
      <c r="G7" s="8">
        <f>IF(C7="CONDIMENTOS",F7*'Param Ref. II'!$C$3,0)</f>
        <v>0</v>
      </c>
      <c r="H7" s="8">
        <f t="shared" si="0"/>
        <v>2548.57348</v>
      </c>
      <c r="I7" s="8">
        <f t="shared" si="1"/>
        <v>30582.88176</v>
      </c>
    </row>
    <row r="8" spans="1:9" x14ac:dyDescent="0.35">
      <c r="A8" s="38">
        <v>10</v>
      </c>
      <c r="B8" s="39" t="s">
        <v>91</v>
      </c>
      <c r="C8" s="39" t="s">
        <v>92</v>
      </c>
      <c r="D8">
        <v>50</v>
      </c>
      <c r="E8" s="40">
        <v>3.69</v>
      </c>
      <c r="F8" s="41">
        <f>E8*'Param Ref. II'!$C$6</f>
        <v>3323.0516400000001</v>
      </c>
      <c r="G8" s="8">
        <f>IF(C8="CONDIMENTOS",F8*'Param Ref. II'!$C$3,0)</f>
        <v>0</v>
      </c>
      <c r="H8" s="8">
        <f t="shared" si="0"/>
        <v>3323.0516400000001</v>
      </c>
      <c r="I8" s="8">
        <f t="shared" si="1"/>
        <v>166152.58199999999</v>
      </c>
    </row>
    <row r="9" spans="1:9" x14ac:dyDescent="0.35">
      <c r="A9" s="38">
        <v>11</v>
      </c>
      <c r="B9" s="39" t="s">
        <v>93</v>
      </c>
      <c r="C9" s="39" t="s">
        <v>94</v>
      </c>
      <c r="D9">
        <v>1</v>
      </c>
      <c r="E9" s="40">
        <v>3.23</v>
      </c>
      <c r="F9" s="41">
        <f>E9*'Param Ref. II'!$C$6</f>
        <v>2908.7958800000001</v>
      </c>
      <c r="G9" s="8">
        <f>IF(C9="CONDIMENTOS",F9*'Param Ref. II'!$C$3,0)</f>
        <v>0</v>
      </c>
      <c r="H9" s="8">
        <f t="shared" si="0"/>
        <v>2908.7958800000001</v>
      </c>
      <c r="I9" s="8">
        <f t="shared" si="1"/>
        <v>2908.7958800000001</v>
      </c>
    </row>
    <row r="10" spans="1:9" x14ac:dyDescent="0.35">
      <c r="A10" s="38">
        <v>12</v>
      </c>
      <c r="B10" s="39" t="s">
        <v>95</v>
      </c>
      <c r="C10" s="39" t="s">
        <v>96</v>
      </c>
      <c r="D10">
        <v>9</v>
      </c>
      <c r="E10" s="40">
        <v>1.1499999999999999</v>
      </c>
      <c r="F10" s="41">
        <f>E10*'Param Ref. II'!$C$6</f>
        <v>1035.6394</v>
      </c>
      <c r="G10" s="8">
        <f>IF(C10="CONDIMENTOS",F10*'Param Ref. II'!$C$3,0)</f>
        <v>0</v>
      </c>
      <c r="H10" s="8">
        <f t="shared" si="0"/>
        <v>1035.6394</v>
      </c>
      <c r="I10" s="8">
        <f t="shared" si="1"/>
        <v>9320.7546000000002</v>
      </c>
    </row>
    <row r="11" spans="1:9" x14ac:dyDescent="0.35">
      <c r="A11" s="38">
        <v>13</v>
      </c>
      <c r="B11" s="39" t="s">
        <v>97</v>
      </c>
      <c r="C11" s="39" t="s">
        <v>86</v>
      </c>
      <c r="D11">
        <v>12</v>
      </c>
      <c r="E11" s="40">
        <v>6</v>
      </c>
      <c r="F11" s="41">
        <f>E11*'Param Ref. II'!$C$6</f>
        <v>5403.3360000000002</v>
      </c>
      <c r="G11" s="8">
        <f>IF(C11="CONDIMENTOS",F11*'Param Ref. II'!$C$3,0)</f>
        <v>297.18348000000003</v>
      </c>
      <c r="H11" s="8">
        <f t="shared" si="0"/>
        <v>5106.1525200000005</v>
      </c>
      <c r="I11" s="8">
        <f t="shared" si="1"/>
        <v>61273.83024000001</v>
      </c>
    </row>
    <row r="12" spans="1:9" x14ac:dyDescent="0.35">
      <c r="A12" s="38">
        <v>14</v>
      </c>
      <c r="B12" s="39" t="s">
        <v>98</v>
      </c>
      <c r="C12" s="39" t="s">
        <v>86</v>
      </c>
      <c r="D12">
        <v>20</v>
      </c>
      <c r="E12" s="40">
        <v>3</v>
      </c>
      <c r="F12" s="41">
        <f>E12*'Param Ref. II'!$C$6</f>
        <v>2701.6680000000001</v>
      </c>
      <c r="G12" s="8">
        <f>IF(C12="CONDIMENTOS",F12*'Param Ref. II'!$C$3,0)</f>
        <v>148.59174000000002</v>
      </c>
      <c r="H12" s="8">
        <f t="shared" si="0"/>
        <v>2553.0762600000003</v>
      </c>
      <c r="I12" s="8">
        <f t="shared" si="1"/>
        <v>51061.525200000004</v>
      </c>
    </row>
    <row r="13" spans="1:9" x14ac:dyDescent="0.35">
      <c r="A13" s="38">
        <v>15</v>
      </c>
      <c r="B13" s="42" t="s">
        <v>99</v>
      </c>
      <c r="C13" s="42" t="s">
        <v>92</v>
      </c>
      <c r="D13" s="4">
        <v>25</v>
      </c>
      <c r="E13" s="43">
        <v>4.5</v>
      </c>
      <c r="F13" s="44">
        <f>E13*'Param Ref. II'!$C$6</f>
        <v>4052.5020000000004</v>
      </c>
      <c r="G13" s="10">
        <f>IF(C13="CONDIMENTOS",F13*'Param Ref. II'!$C$3,0)</f>
        <v>0</v>
      </c>
      <c r="H13" s="10">
        <f t="shared" si="0"/>
        <v>4052.5020000000004</v>
      </c>
      <c r="I13" s="10">
        <f t="shared" si="1"/>
        <v>101312.55000000002</v>
      </c>
    </row>
    <row r="15" spans="1:9" ht="15" thickBot="1" x14ac:dyDescent="0.4">
      <c r="H15" s="45" t="s">
        <v>100</v>
      </c>
      <c r="I15" s="46">
        <f>SUM(I2:I13)</f>
        <v>652903.55027800007</v>
      </c>
    </row>
    <row r="16" spans="1:9" ht="15" thickTop="1" x14ac:dyDescent="0.35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394E7-8B06-4057-AEA4-F6439E21D548}">
  <sheetPr>
    <tabColor theme="7" tint="0.59999389629810485"/>
  </sheetPr>
  <dimension ref="B2:C6"/>
  <sheetViews>
    <sheetView workbookViewId="0">
      <selection activeCell="B3" sqref="B3"/>
    </sheetView>
  </sheetViews>
  <sheetFormatPr baseColWidth="10" defaultRowHeight="14.5" x14ac:dyDescent="0.35"/>
  <cols>
    <col min="2" max="2" width="18.36328125" customWidth="1"/>
  </cols>
  <sheetData>
    <row r="2" spans="2:3" x14ac:dyDescent="0.35">
      <c r="B2" s="47" t="s">
        <v>76</v>
      </c>
      <c r="C2" s="47" t="s">
        <v>49</v>
      </c>
    </row>
    <row r="3" spans="2:3" x14ac:dyDescent="0.35">
      <c r="B3" s="3" t="s">
        <v>86</v>
      </c>
      <c r="C3" s="11">
        <v>5.5E-2</v>
      </c>
    </row>
    <row r="6" spans="2:3" x14ac:dyDescent="0.35">
      <c r="B6" s="47" t="s">
        <v>101</v>
      </c>
      <c r="C6" s="48">
        <v>900.55600000000004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90ABA-8F79-4B88-8F8B-3DDCE9C55C2C}">
  <dimension ref="B2:I19"/>
  <sheetViews>
    <sheetView workbookViewId="0">
      <selection activeCell="I17" sqref="I17"/>
    </sheetView>
  </sheetViews>
  <sheetFormatPr baseColWidth="10" defaultRowHeight="14.5" x14ac:dyDescent="0.35"/>
  <cols>
    <col min="1" max="1" width="9" customWidth="1"/>
    <col min="2" max="2" width="13.26953125" customWidth="1"/>
    <col min="3" max="3" width="24.36328125" bestFit="1" customWidth="1"/>
    <col min="6" max="6" width="14.54296875" customWidth="1"/>
    <col min="8" max="8" width="18.90625" customWidth="1"/>
  </cols>
  <sheetData>
    <row r="2" spans="2:9" x14ac:dyDescent="0.35">
      <c r="B2" s="49" t="s">
        <v>3</v>
      </c>
      <c r="C2" s="49" t="s">
        <v>4</v>
      </c>
      <c r="D2" s="49" t="s">
        <v>102</v>
      </c>
      <c r="E2" s="49" t="s">
        <v>103</v>
      </c>
      <c r="F2" s="49" t="s">
        <v>104</v>
      </c>
      <c r="G2" s="49" t="s">
        <v>105</v>
      </c>
      <c r="H2" s="49" t="s">
        <v>106</v>
      </c>
      <c r="I2" s="49" t="s">
        <v>44</v>
      </c>
    </row>
    <row r="3" spans="2:9" x14ac:dyDescent="0.35">
      <c r="B3" s="68" t="s">
        <v>107</v>
      </c>
      <c r="C3" s="69" t="s">
        <v>108</v>
      </c>
      <c r="D3" s="69" t="s">
        <v>109</v>
      </c>
      <c r="E3" s="69" t="s">
        <v>110</v>
      </c>
      <c r="F3" s="69" t="s">
        <v>111</v>
      </c>
      <c r="G3" s="69" t="s">
        <v>112</v>
      </c>
      <c r="H3" s="69" t="s">
        <v>113</v>
      </c>
      <c r="I3" s="70">
        <v>830000</v>
      </c>
    </row>
    <row r="4" spans="2:9" x14ac:dyDescent="0.35">
      <c r="B4" s="1" t="s">
        <v>8</v>
      </c>
      <c r="C4" t="s">
        <v>9</v>
      </c>
      <c r="D4" t="s">
        <v>117</v>
      </c>
      <c r="E4" t="s">
        <v>118</v>
      </c>
      <c r="F4" t="s">
        <v>111</v>
      </c>
      <c r="G4" t="s">
        <v>119</v>
      </c>
      <c r="H4" t="s">
        <v>116</v>
      </c>
      <c r="I4" s="8">
        <v>550000</v>
      </c>
    </row>
    <row r="5" spans="2:9" x14ac:dyDescent="0.35">
      <c r="B5" s="1" t="s">
        <v>126</v>
      </c>
      <c r="C5" t="s">
        <v>127</v>
      </c>
      <c r="D5" t="s">
        <v>109</v>
      </c>
      <c r="E5" t="s">
        <v>128</v>
      </c>
      <c r="F5" t="s">
        <v>111</v>
      </c>
      <c r="G5" t="s">
        <v>119</v>
      </c>
      <c r="H5" t="s">
        <v>125</v>
      </c>
      <c r="I5" s="8">
        <v>550000</v>
      </c>
    </row>
    <row r="6" spans="2:9" x14ac:dyDescent="0.35">
      <c r="B6" s="68" t="s">
        <v>65</v>
      </c>
      <c r="C6" s="69" t="s">
        <v>15</v>
      </c>
      <c r="D6" s="69" t="s">
        <v>117</v>
      </c>
      <c r="E6" s="69" t="s">
        <v>118</v>
      </c>
      <c r="F6" s="69" t="s">
        <v>111</v>
      </c>
      <c r="G6" s="69" t="s">
        <v>119</v>
      </c>
      <c r="H6" s="69" t="s">
        <v>130</v>
      </c>
      <c r="I6" s="70">
        <v>620000</v>
      </c>
    </row>
    <row r="7" spans="2:9" x14ac:dyDescent="0.35">
      <c r="B7" s="1" t="s">
        <v>131</v>
      </c>
      <c r="C7" t="s">
        <v>132</v>
      </c>
      <c r="D7" t="s">
        <v>117</v>
      </c>
      <c r="E7" t="s">
        <v>133</v>
      </c>
      <c r="F7" t="s">
        <v>134</v>
      </c>
      <c r="G7" t="s">
        <v>115</v>
      </c>
      <c r="H7" t="s">
        <v>116</v>
      </c>
      <c r="I7" s="8">
        <v>660000</v>
      </c>
    </row>
    <row r="8" spans="2:9" x14ac:dyDescent="0.35">
      <c r="B8" s="1" t="s">
        <v>5</v>
      </c>
      <c r="C8" t="s">
        <v>6</v>
      </c>
      <c r="D8" t="s">
        <v>109</v>
      </c>
      <c r="E8" t="s">
        <v>114</v>
      </c>
      <c r="F8" t="s">
        <v>111</v>
      </c>
      <c r="G8" t="s">
        <v>115</v>
      </c>
      <c r="H8" t="s">
        <v>116</v>
      </c>
      <c r="I8" s="8">
        <v>660000</v>
      </c>
    </row>
    <row r="9" spans="2:9" x14ac:dyDescent="0.35">
      <c r="B9" s="1" t="s">
        <v>120</v>
      </c>
      <c r="C9" t="s">
        <v>121</v>
      </c>
      <c r="D9" t="s">
        <v>117</v>
      </c>
      <c r="E9" t="s">
        <v>122</v>
      </c>
      <c r="F9" t="s">
        <v>111</v>
      </c>
      <c r="G9" t="s">
        <v>115</v>
      </c>
      <c r="H9" t="s">
        <v>116</v>
      </c>
      <c r="I9" s="8">
        <v>530000</v>
      </c>
    </row>
    <row r="10" spans="2:9" x14ac:dyDescent="0.35">
      <c r="B10" s="1" t="s">
        <v>56</v>
      </c>
      <c r="C10" t="s">
        <v>7</v>
      </c>
      <c r="D10" t="s">
        <v>117</v>
      </c>
      <c r="E10" t="s">
        <v>110</v>
      </c>
      <c r="F10" t="s">
        <v>111</v>
      </c>
      <c r="G10" t="s">
        <v>115</v>
      </c>
      <c r="H10" t="s">
        <v>123</v>
      </c>
      <c r="I10" s="8">
        <v>760000</v>
      </c>
    </row>
    <row r="11" spans="2:9" x14ac:dyDescent="0.35">
      <c r="B11" s="68" t="s">
        <v>135</v>
      </c>
      <c r="C11" s="69" t="s">
        <v>136</v>
      </c>
      <c r="D11" s="69" t="s">
        <v>117</v>
      </c>
      <c r="E11" s="69" t="s">
        <v>133</v>
      </c>
      <c r="F11" s="69" t="s">
        <v>134</v>
      </c>
      <c r="G11" s="69" t="s">
        <v>115</v>
      </c>
      <c r="H11" s="69" t="s">
        <v>123</v>
      </c>
      <c r="I11" s="70">
        <v>550000</v>
      </c>
    </row>
    <row r="12" spans="2:9" x14ac:dyDescent="0.35">
      <c r="B12" s="68" t="s">
        <v>66</v>
      </c>
      <c r="C12" s="69" t="s">
        <v>18</v>
      </c>
      <c r="D12" s="69" t="s">
        <v>117</v>
      </c>
      <c r="E12" s="69" t="s">
        <v>124</v>
      </c>
      <c r="F12" s="69" t="s">
        <v>111</v>
      </c>
      <c r="G12" s="69" t="s">
        <v>115</v>
      </c>
      <c r="H12" s="69" t="s">
        <v>123</v>
      </c>
      <c r="I12" s="70">
        <v>520000</v>
      </c>
    </row>
    <row r="13" spans="2:9" x14ac:dyDescent="0.35">
      <c r="B13" s="1" t="s">
        <v>64</v>
      </c>
      <c r="C13" t="s">
        <v>19</v>
      </c>
      <c r="D13" t="s">
        <v>117</v>
      </c>
      <c r="E13" t="s">
        <v>124</v>
      </c>
      <c r="F13" t="s">
        <v>111</v>
      </c>
      <c r="G13" t="s">
        <v>115</v>
      </c>
      <c r="H13" t="s">
        <v>125</v>
      </c>
      <c r="I13" s="8">
        <v>720000</v>
      </c>
    </row>
    <row r="14" spans="2:9" x14ac:dyDescent="0.35">
      <c r="B14" s="2" t="s">
        <v>62</v>
      </c>
      <c r="C14" s="4" t="s">
        <v>63</v>
      </c>
      <c r="D14" s="4" t="s">
        <v>109</v>
      </c>
      <c r="E14" s="4" t="s">
        <v>129</v>
      </c>
      <c r="F14" s="4" t="s">
        <v>111</v>
      </c>
      <c r="G14" s="4" t="s">
        <v>115</v>
      </c>
      <c r="H14" s="4" t="s">
        <v>130</v>
      </c>
      <c r="I14" s="10">
        <v>635000</v>
      </c>
    </row>
    <row r="16" spans="2:9" ht="15" thickBot="1" x14ac:dyDescent="0.4">
      <c r="H16" s="45" t="s">
        <v>170</v>
      </c>
      <c r="I16" s="33">
        <f>SUM(I3:I14)</f>
        <v>7585000</v>
      </c>
    </row>
    <row r="17" spans="8:9" ht="15.5" thickTop="1" thickBot="1" x14ac:dyDescent="0.4">
      <c r="H17" s="33" t="s">
        <v>169</v>
      </c>
      <c r="I17" s="33">
        <f>SUBTOTAL(9,I3:I14)</f>
        <v>7585000</v>
      </c>
    </row>
    <row r="18" spans="8:9" ht="15.5" thickTop="1" thickBot="1" x14ac:dyDescent="0.4">
      <c r="H18" s="71" t="s">
        <v>171</v>
      </c>
      <c r="I18" s="72">
        <f>SUBTOTAL(3,C3:C14)</f>
        <v>12</v>
      </c>
    </row>
    <row r="19" spans="8:9" ht="15" thickTop="1" x14ac:dyDescent="0.35"/>
  </sheetData>
  <autoFilter ref="B2:I14" xr:uid="{CC890ABA-8F79-4B88-8F8B-3DDCE9C55C2C}"/>
  <sortState xmlns:xlrd2="http://schemas.microsoft.com/office/spreadsheetml/2017/richdata2" ref="B3:I14">
    <sortCondition ref="G3:G14"/>
    <sortCondition ref="H3:H14"/>
    <sortCondition descending="1" ref="I3:I1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2</vt:i4>
      </vt:variant>
    </vt:vector>
  </HeadingPairs>
  <TitlesOfParts>
    <vt:vector size="20" baseType="lpstr">
      <vt:lpstr>Contar Sumar Si. Conjunto</vt:lpstr>
      <vt:lpstr>Formato Funcion Si</vt:lpstr>
      <vt:lpstr>Ejercicios Si</vt:lpstr>
      <vt:lpstr>Ejercicios Si Referencias</vt:lpstr>
      <vt:lpstr>Param Ref.</vt:lpstr>
      <vt:lpstr>Ejercicio Si Ref.</vt:lpstr>
      <vt:lpstr>Ejercicio Si Ref. II</vt:lpstr>
      <vt:lpstr>Param Ref. II</vt:lpstr>
      <vt:lpstr>Tabla</vt:lpstr>
      <vt:lpstr>Filtro Avanzado</vt:lpstr>
      <vt:lpstr>Sub- Totales</vt:lpstr>
      <vt:lpstr>BuscarV</vt:lpstr>
      <vt:lpstr>BuscarH</vt:lpstr>
      <vt:lpstr>Matriz Transpuesta</vt:lpstr>
      <vt:lpstr>BuscarX</vt:lpstr>
      <vt:lpstr>Texto Columna</vt:lpstr>
      <vt:lpstr>Texto Mayus Minus</vt:lpstr>
      <vt:lpstr>Tabla Dinamica</vt:lpstr>
      <vt:lpstr>'Filtro Avanzado'!Área_de_extracción</vt:lpstr>
      <vt:lpstr>'Filtro Avanzado'!Criterios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Beltrand</dc:creator>
  <cp:lastModifiedBy>Juan Carlos Beltrand</cp:lastModifiedBy>
  <dcterms:created xsi:type="dcterms:W3CDTF">2019-03-04T12:03:14Z</dcterms:created>
  <dcterms:modified xsi:type="dcterms:W3CDTF">2024-11-28T16:10:55Z</dcterms:modified>
</cp:coreProperties>
</file>