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5.xml" ContentType="application/vnd.openxmlformats-officedocument.spreadsheetml.pivotTable+xml"/>
  <Override PartName="/xl/tables/table1.xml" ContentType="application/vnd.openxmlformats-officedocument.spreadsheetml.table+xml"/>
  <Override PartName="/xl/pivotTables/pivotTable6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belt\OneDrive\Escritorio\Ore_Excel_Avanzado\"/>
    </mc:Choice>
  </mc:AlternateContent>
  <xr:revisionPtr revIDLastSave="0" documentId="13_ncr:1_{915E691E-C109-4280-B9C3-B7E1FA157021}" xr6:coauthVersionLast="47" xr6:coauthVersionMax="47" xr10:uidLastSave="{00000000-0000-0000-0000-000000000000}"/>
  <bookViews>
    <workbookView xWindow="-110" yWindow="-110" windowWidth="19420" windowHeight="10300" tabRatio="875" firstSheet="15" activeTab="17" xr2:uid="{FD07371F-E6A5-4167-B4E9-B58D1456D009}"/>
  </bookViews>
  <sheets>
    <sheet name="Tabla" sheetId="13" r:id="rId1"/>
    <sheet name="BuscarV" sheetId="14" r:id="rId2"/>
    <sheet name="BuscarH" sheetId="16" r:id="rId3"/>
    <sheet name="BuscarX" sheetId="15" r:id="rId4"/>
    <sheet name="Indice" sheetId="17" r:id="rId5"/>
    <sheet name="Indice Coincidir" sheetId="18" r:id="rId6"/>
    <sheet name="Cuadro Combinado" sheetId="20" r:id="rId7"/>
    <sheet name="Cuadro Lista" sheetId="21" r:id="rId8"/>
    <sheet name="Dinamica Uno" sheetId="33" r:id="rId9"/>
    <sheet name="Dinamica Dos" sheetId="34" r:id="rId10"/>
    <sheet name="Dinamica Tres" sheetId="35" r:id="rId11"/>
    <sheet name="Tablas Dinamicas" sheetId="11" r:id="rId12"/>
    <sheet name="Dinamica Formato Tabla" sheetId="36" r:id="rId13"/>
    <sheet name="Formato de Tabla" sheetId="22" r:id="rId14"/>
    <sheet name="Dinamica Tabla Relacionada" sheetId="38" r:id="rId15"/>
    <sheet name="Tablas Relacionadas" sheetId="24" r:id="rId16"/>
    <sheet name="Contar Sumar SI" sheetId="25" r:id="rId17"/>
    <sheet name="Ejercicio Contar Sumar SI" sheetId="27" r:id="rId18"/>
    <sheet name="Sumar SI Grafico" sheetId="28" r:id="rId19"/>
    <sheet name="Contar-Sumar Si Conjunto" sheetId="26" r:id="rId20"/>
    <sheet name="Funcion Logica SI" sheetId="29" r:id="rId21"/>
    <sheet name="SI Anidado" sheetId="30" r:id="rId22"/>
    <sheet name="Si Anidaddo Ad. Nombre" sheetId="31" r:id="rId23"/>
    <sheet name="Parametros" sheetId="32" r:id="rId24"/>
  </sheets>
  <definedNames>
    <definedName name="_xlcn.WorksheetConnection_Clase_0602_Avanz_2.xlsxTDetalle1" hidden="1">TDetalle[]</definedName>
    <definedName name="_xlcn.WorksheetConnection_Clase_0602_Avanz_2.xlsxTMaestra1" hidden="1">TMaestra[]</definedName>
    <definedName name="NOM">'Cuadro Lista'!$C$3:$C$11</definedName>
    <definedName name="RutF">BuscarH!$C$2:$H$2</definedName>
    <definedName name="TablaC">'Cuadro Combinado'!$B$3:$F$11</definedName>
    <definedName name="TablaF">BuscarH!$C$2:$H$5</definedName>
    <definedName name="TablaL">'Cuadro Lista'!$B$3:$F$11</definedName>
  </definedNames>
  <calcPr calcId="191029"/>
  <pivotCaches>
    <pivotCache cacheId="24" r:id="rId25"/>
    <pivotCache cacheId="34" r:id="rId26"/>
    <pivotCache cacheId="58" r:id="rId27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Detalle" name="TDetalle" connection="WorksheetConnection_Clase_0602_Avanz_2.xlsx!TDetalle"/>
          <x15:modelTable id="TMaestra" name="TMaestra" connection="WorksheetConnection_Clase_0602_Avanz_2.xlsx!TMaestra"/>
        </x15:modelTables>
        <x15:modelRelationships>
          <x15:modelRelationship fromTable="TDetalle" fromColumn="ID" toTable="TMaestra" toColumn="ID"/>
        </x15:modelRelationship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27" l="1"/>
  <c r="J17" i="27"/>
  <c r="I17" i="27"/>
  <c r="J16" i="27"/>
  <c r="I16" i="27"/>
  <c r="J14" i="25"/>
  <c r="J8" i="25"/>
  <c r="I8" i="25"/>
  <c r="K8" i="25"/>
  <c r="K4" i="25"/>
  <c r="K5" i="25"/>
  <c r="K3" i="25"/>
  <c r="J5" i="25"/>
  <c r="J4" i="25"/>
  <c r="J3" i="25"/>
  <c r="I5" i="25"/>
  <c r="I4" i="25"/>
  <c r="I3" i="25"/>
  <c r="J15" i="22"/>
  <c r="J3" i="22"/>
  <c r="J4" i="22"/>
  <c r="J5" i="22"/>
  <c r="J6" i="22"/>
  <c r="J7" i="22"/>
  <c r="J8" i="22"/>
  <c r="J9" i="22"/>
  <c r="J10" i="22"/>
  <c r="J11" i="22"/>
  <c r="J12" i="22"/>
  <c r="J13" i="22"/>
  <c r="J14" i="22"/>
  <c r="I7" i="21" a="1"/>
  <c r="I7" i="21" s="1"/>
  <c r="I6" i="21" a="1"/>
  <c r="I6" i="21" s="1"/>
  <c r="I5" i="21" a="1"/>
  <c r="I5" i="21" s="1"/>
  <c r="I4" i="21" a="1"/>
  <c r="I4" i="21" s="1"/>
  <c r="I2" i="21" a="1"/>
  <c r="I2" i="21" s="1"/>
  <c r="I10" i="20" a="1"/>
  <c r="I10" i="20" s="1"/>
  <c r="I15" i="20" a="1"/>
  <c r="I15" i="20" s="1"/>
  <c r="I14" i="20" a="1"/>
  <c r="I14" i="20" s="1"/>
  <c r="I13" i="20" a="1"/>
  <c r="I13" i="20" s="1"/>
  <c r="I12" i="20" a="1"/>
  <c r="I12" i="20" s="1"/>
  <c r="I7" i="20" a="1"/>
  <c r="I7" i="20" s="1"/>
  <c r="I6" i="20" a="1"/>
  <c r="I6" i="20" s="1"/>
  <c r="I5" i="20" a="1"/>
  <c r="I5" i="20" s="1"/>
  <c r="I4" i="20" a="1"/>
  <c r="I4" i="20" s="1"/>
  <c r="I17" i="18"/>
  <c r="I16" i="18"/>
  <c r="I15" i="18"/>
  <c r="I14" i="18"/>
  <c r="I7" i="18" a="1"/>
  <c r="I7" i="18" s="1"/>
  <c r="I6" i="18" a="1"/>
  <c r="I6" i="18" s="1"/>
  <c r="I5" i="18" a="1"/>
  <c r="I5" i="18" s="1"/>
  <c r="K2" i="18"/>
  <c r="I4" i="18" s="1" a="1"/>
  <c r="I4" i="18" s="1"/>
  <c r="H7" i="17" a="1"/>
  <c r="H7" i="17" s="1"/>
  <c r="H6" i="17" a="1"/>
  <c r="H6" i="17" s="1"/>
  <c r="H5" i="17" a="1"/>
  <c r="H5" i="17" s="1"/>
  <c r="C16" i="15"/>
  <c r="C13" i="15" a="1"/>
  <c r="C13" i="15" s="1"/>
  <c r="C12" i="16"/>
  <c r="C11" i="16"/>
  <c r="C10" i="16"/>
  <c r="H14" i="14"/>
  <c r="H16" i="14" s="1"/>
  <c r="H12" i="14"/>
  <c r="H6" i="14"/>
  <c r="H8" i="14" s="1"/>
  <c r="H5" i="14"/>
  <c r="H4" i="14"/>
  <c r="F17" i="31"/>
  <c r="F16" i="31"/>
  <c r="F15" i="31"/>
  <c r="F14" i="31"/>
  <c r="F13" i="31"/>
  <c r="F12" i="31"/>
  <c r="F11" i="31"/>
  <c r="F10" i="31"/>
  <c r="F9" i="31"/>
  <c r="F8" i="31"/>
  <c r="F7" i="31"/>
  <c r="F6" i="31"/>
  <c r="F5" i="31"/>
  <c r="F4" i="31"/>
  <c r="F17" i="30"/>
  <c r="F16" i="30"/>
  <c r="F15" i="30"/>
  <c r="F14" i="30"/>
  <c r="F13" i="30"/>
  <c r="F12" i="30"/>
  <c r="F11" i="30"/>
  <c r="F10" i="30"/>
  <c r="F9" i="30"/>
  <c r="F8" i="30"/>
  <c r="F7" i="30"/>
  <c r="F6" i="30"/>
  <c r="F5" i="30"/>
  <c r="F4" i="30"/>
  <c r="F16" i="28"/>
  <c r="F15" i="28"/>
  <c r="F14" i="28"/>
  <c r="F13" i="28"/>
  <c r="F12" i="28"/>
  <c r="F11" i="28"/>
  <c r="F10" i="28"/>
  <c r="F9" i="28"/>
  <c r="F8" i="28"/>
  <c r="F7" i="28"/>
  <c r="F6" i="28"/>
  <c r="F5" i="28"/>
  <c r="F4" i="28"/>
  <c r="F3" i="28"/>
  <c r="G16" i="26"/>
  <c r="H16" i="26" s="1"/>
  <c r="G15" i="26"/>
  <c r="H15" i="26" s="1"/>
  <c r="G14" i="26"/>
  <c r="H14" i="26" s="1"/>
  <c r="G13" i="26"/>
  <c r="H13" i="26" s="1"/>
  <c r="G12" i="26"/>
  <c r="H12" i="26" s="1"/>
  <c r="G11" i="26"/>
  <c r="H11" i="26" s="1"/>
  <c r="G10" i="26"/>
  <c r="H10" i="26" s="1"/>
  <c r="G9" i="26"/>
  <c r="H9" i="26" s="1"/>
  <c r="G8" i="26"/>
  <c r="H8" i="26" s="1"/>
  <c r="G7" i="26"/>
  <c r="H7" i="26" s="1"/>
  <c r="G6" i="26"/>
  <c r="H6" i="26" s="1"/>
  <c r="G5" i="26"/>
  <c r="H5" i="26" s="1"/>
  <c r="G4" i="26"/>
  <c r="H4" i="26" s="1"/>
  <c r="G3" i="26"/>
  <c r="F16" i="25"/>
  <c r="F15" i="25"/>
  <c r="F14" i="25"/>
  <c r="F13" i="25"/>
  <c r="F12" i="25"/>
  <c r="F11" i="25"/>
  <c r="F10" i="25"/>
  <c r="F9" i="25"/>
  <c r="F8" i="25"/>
  <c r="F7" i="25"/>
  <c r="F6" i="25"/>
  <c r="F5" i="25"/>
  <c r="F4" i="25"/>
  <c r="F3" i="25"/>
  <c r="H3" i="26" l="1"/>
  <c r="K17" i="24" l="1"/>
  <c r="K16" i="24"/>
  <c r="K15" i="24"/>
  <c r="K14" i="24"/>
  <c r="K13" i="24"/>
  <c r="K12" i="24"/>
  <c r="K11" i="24"/>
  <c r="K10" i="24"/>
  <c r="K9" i="24"/>
  <c r="K8" i="24"/>
  <c r="K7" i="24"/>
  <c r="K6" i="24"/>
  <c r="K5" i="24"/>
  <c r="K4" i="24"/>
  <c r="C35" i="15" l="1"/>
  <c r="C34" i="15"/>
  <c r="C33" i="15"/>
  <c r="C32" i="15"/>
  <c r="C31" i="15"/>
  <c r="C40" i="14"/>
  <c r="C39" i="14"/>
  <c r="C38" i="14"/>
  <c r="C37" i="14"/>
  <c r="C36" i="14"/>
  <c r="G8" i="13"/>
  <c r="H8" i="13" s="1"/>
  <c r="G14" i="13"/>
  <c r="H14" i="13" s="1"/>
  <c r="G9" i="13"/>
  <c r="H9" i="13" s="1"/>
  <c r="G6" i="13"/>
  <c r="H6" i="13" s="1"/>
  <c r="G7" i="13"/>
  <c r="H7" i="13" s="1"/>
  <c r="G11" i="13"/>
  <c r="H11" i="13" s="1"/>
  <c r="G5" i="13"/>
  <c r="H5" i="13" s="1"/>
  <c r="G4" i="13"/>
  <c r="H4" i="13" s="1"/>
  <c r="G13" i="13"/>
  <c r="H13" i="13" s="1"/>
  <c r="G10" i="13"/>
  <c r="H10" i="13" s="1"/>
  <c r="G3" i="13"/>
  <c r="H3" i="13" s="1"/>
  <c r="G12" i="13"/>
  <c r="H12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C6CAAFA-C7EB-4B98-8D51-DFBA33A51BA9}" keepAlive="1" name="ThisWorkbookDataModel" description="Modelo de datos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929FF6C-C1D8-48B8-862A-C19DC2B8CE3B}" name="WorksheetConnection_Clase_0602_Avanz_2.xlsx!TDetalle" type="102" refreshedVersion="8" minRefreshableVersion="5">
    <extLst>
      <ext xmlns:x15="http://schemas.microsoft.com/office/spreadsheetml/2010/11/main" uri="{DE250136-89BD-433C-8126-D09CA5730AF9}">
        <x15:connection id="TDetalle">
          <x15:rangePr sourceName="_xlcn.WorksheetConnection_Clase_0602_Avanz_2.xlsxTDetalle1"/>
        </x15:connection>
      </ext>
    </extLst>
  </connection>
  <connection id="3" xr16:uid="{BFF2C283-AB74-40D8-8ECA-168A3C9B6EE9}" name="WorksheetConnection_Clase_0602_Avanz_2.xlsx!TMaestra" type="102" refreshedVersion="8" minRefreshableVersion="5">
    <extLst>
      <ext xmlns:x15="http://schemas.microsoft.com/office/spreadsheetml/2010/11/main" uri="{DE250136-89BD-433C-8126-D09CA5730AF9}">
        <x15:connection id="TMaestra">
          <x15:rangePr sourceName="_xlcn.WorksheetConnection_Clase_0602_Avanz_2.xlsxTMaestra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<sst xmlns="http://schemas.openxmlformats.org/spreadsheetml/2006/main" count="1094" uniqueCount="243">
  <si>
    <t>Nombre</t>
  </si>
  <si>
    <t>Promedio</t>
  </si>
  <si>
    <t>RUT</t>
  </si>
  <si>
    <t>NOMBRE</t>
  </si>
  <si>
    <t>SEXO</t>
  </si>
  <si>
    <t>LIQUIDO</t>
  </si>
  <si>
    <t>03.903.946-K</t>
  </si>
  <si>
    <t>Castro Córdova Silvia</t>
  </si>
  <si>
    <t>F</t>
  </si>
  <si>
    <t>04.308.131-4</t>
  </si>
  <si>
    <t>Calderón Galaz Jose</t>
  </si>
  <si>
    <t>M</t>
  </si>
  <si>
    <t>05.057.894-1</t>
  </si>
  <si>
    <t>Chávez González Elsa</t>
  </si>
  <si>
    <t>05.299.873-5</t>
  </si>
  <si>
    <t>Aranguiz Figueroa Emilio</t>
  </si>
  <si>
    <t>05.990.979-7</t>
  </si>
  <si>
    <t>Araya Garate Alicia</t>
  </si>
  <si>
    <t>06.091.597-0</t>
  </si>
  <si>
    <t>Armijo Lizama Leonardo</t>
  </si>
  <si>
    <t>06.134.686-4</t>
  </si>
  <si>
    <t>Azócar Riffo Herminda</t>
  </si>
  <si>
    <t>06.235.162-4</t>
  </si>
  <si>
    <t>Blanco Vera Washington</t>
  </si>
  <si>
    <t>06.388.776-5</t>
  </si>
  <si>
    <t>Contreras Márquez Laura</t>
  </si>
  <si>
    <t>06.434.788-8</t>
  </si>
  <si>
    <t>Belmar Hormazábal Rodrigo</t>
  </si>
  <si>
    <t>06.565.470-9</t>
  </si>
  <si>
    <t>Bacián Lavín Carlos</t>
  </si>
  <si>
    <t>06.597.566-1</t>
  </si>
  <si>
    <t>Aguilera Cabrera Ivan</t>
  </si>
  <si>
    <t>06.633.613-1</t>
  </si>
  <si>
    <t>Castro Vásquez Bernardo</t>
  </si>
  <si>
    <t>RENTA</t>
  </si>
  <si>
    <t>CARGO</t>
  </si>
  <si>
    <t>CENTRO COSTO</t>
  </si>
  <si>
    <t>DESCUENTOS</t>
  </si>
  <si>
    <t>VENDEDOR</t>
  </si>
  <si>
    <t>VENTAS</t>
  </si>
  <si>
    <t>SECRETARIA</t>
  </si>
  <si>
    <t>FINANZAS</t>
  </si>
  <si>
    <t>05.334.664-2</t>
  </si>
  <si>
    <t>Catalán Toro Armanda</t>
  </si>
  <si>
    <t>ADMINISTRATIVO</t>
  </si>
  <si>
    <t>RR.HH</t>
  </si>
  <si>
    <t>Acevedo Navarro José</t>
  </si>
  <si>
    <t>GERENTE</t>
  </si>
  <si>
    <t>06.633.876-2</t>
  </si>
  <si>
    <t>Astudillo Pereira Verónica</t>
  </si>
  <si>
    <t>06.843.720-2</t>
  </si>
  <si>
    <t>Alvarez Torres Erick</t>
  </si>
  <si>
    <t>Total $</t>
  </si>
  <si>
    <t>R.U.T</t>
  </si>
  <si>
    <t>DIRECCION</t>
  </si>
  <si>
    <t xml:space="preserve">RENTA </t>
  </si>
  <si>
    <t>10.511.980-K</t>
  </si>
  <si>
    <t>Alejandro Matute Alvear</t>
  </si>
  <si>
    <t>Amunátegui 139-B</t>
  </si>
  <si>
    <t>11.749.048-9</t>
  </si>
  <si>
    <t>Andrés  Zaldívar Ayala</t>
  </si>
  <si>
    <t>08.180.880-6</t>
  </si>
  <si>
    <t>Nelson  Albornoz Figueroa</t>
  </si>
  <si>
    <t>Obispo Salas 0245, Of. 440</t>
  </si>
  <si>
    <t>07.215.070-9</t>
  </si>
  <si>
    <t>Alejandro Foxley Frez</t>
  </si>
  <si>
    <t>15.579.920-6</t>
  </si>
  <si>
    <t>Guillermo Cáceres Fuentes</t>
  </si>
  <si>
    <t>Los leones 2255</t>
  </si>
  <si>
    <t>14.479.790-4</t>
  </si>
  <si>
    <t>Josefina Bilbao Olivares</t>
  </si>
  <si>
    <t>08.421.080-4</t>
  </si>
  <si>
    <t>Cecilia Cornejo Salinas</t>
  </si>
  <si>
    <t>Obispo Salas 0245, Of. 441</t>
  </si>
  <si>
    <t>08.145.410-0</t>
  </si>
  <si>
    <t>María Esquivel Santander</t>
  </si>
  <si>
    <t>Providencia 2594, Of. 312</t>
  </si>
  <si>
    <t>12.869.040-7</t>
  </si>
  <si>
    <t>Marta  Caro Serrano</t>
  </si>
  <si>
    <t>Avda. Lib. Bdo. O'Higgins 340</t>
  </si>
  <si>
    <t>08.327.200-2</t>
  </si>
  <si>
    <t>Anibal Fierro Soto</t>
  </si>
  <si>
    <t>03.030.600-5</t>
  </si>
  <si>
    <t>Jose  Mena  Valencia</t>
  </si>
  <si>
    <t>Pasaje Matte 956, Of. 801</t>
  </si>
  <si>
    <t>07.130.600-5</t>
  </si>
  <si>
    <t>Jaime Rios Valencia</t>
  </si>
  <si>
    <t>CIUDAD</t>
  </si>
  <si>
    <t>SANTIAGO</t>
  </si>
  <si>
    <t>RANCAGUA</t>
  </si>
  <si>
    <t>Avda. Hernando Siles 5873</t>
  </si>
  <si>
    <t>Praia Do Flamengo 344</t>
  </si>
  <si>
    <t>Avda. Javier Prado Oeste 790</t>
  </si>
  <si>
    <t>N° Transa</t>
  </si>
  <si>
    <t>Zona</t>
  </si>
  <si>
    <t>Total</t>
  </si>
  <si>
    <t>Norte</t>
  </si>
  <si>
    <t>Sur</t>
  </si>
  <si>
    <t>Centro</t>
  </si>
  <si>
    <t>Alarcón Casanova Sergio</t>
  </si>
  <si>
    <t>N° Factura</t>
  </si>
  <si>
    <t>Fecha</t>
  </si>
  <si>
    <t>IMPUESTO 13,75%</t>
  </si>
  <si>
    <t>Alameda Bdo. O'Higgins 3322</t>
  </si>
  <si>
    <t>Avda. Bulnes 285</t>
  </si>
  <si>
    <t>Los Leones 2255</t>
  </si>
  <si>
    <t>AFP</t>
  </si>
  <si>
    <t>SALUD</t>
  </si>
  <si>
    <t>IMPONIBLE</t>
  </si>
  <si>
    <t>CUPRUM</t>
  </si>
  <si>
    <t>Fonasa</t>
  </si>
  <si>
    <t>ING</t>
  </si>
  <si>
    <t>CAPITAL</t>
  </si>
  <si>
    <t>Consalud</t>
  </si>
  <si>
    <t>Banmédica</t>
  </si>
  <si>
    <t>Más Vida</t>
  </si>
  <si>
    <t>05.660.775-7</t>
  </si>
  <si>
    <t>Aranguiz Figueroa Carlos</t>
  </si>
  <si>
    <t>Vida Plena</t>
  </si>
  <si>
    <t>05.512.105-2</t>
  </si>
  <si>
    <t>PROVIDA</t>
  </si>
  <si>
    <t>05.744.031-7</t>
  </si>
  <si>
    <t>HABITAT</t>
  </si>
  <si>
    <t>Sfera</t>
  </si>
  <si>
    <t>Tres Vida</t>
  </si>
  <si>
    <t>Tabla Detalle == &gt; Maestra</t>
  </si>
  <si>
    <t>ID</t>
  </si>
  <si>
    <t>SBase</t>
  </si>
  <si>
    <t>Enero</t>
  </si>
  <si>
    <t>Febrero</t>
  </si>
  <si>
    <t>Marzo</t>
  </si>
  <si>
    <t>11.057.894-1</t>
  </si>
  <si>
    <t>11.334.664-2</t>
  </si>
  <si>
    <t>10.388.776-5</t>
  </si>
  <si>
    <t>11.512.105-2</t>
  </si>
  <si>
    <t>09.308.131-4</t>
  </si>
  <si>
    <t>12.434.788-8</t>
  </si>
  <si>
    <t>11.235.162-4</t>
  </si>
  <si>
    <t>Poniente</t>
  </si>
  <si>
    <t>11.903.946-K</t>
  </si>
  <si>
    <t>09.633.876-2</t>
  </si>
  <si>
    <t>11.744.031-7</t>
  </si>
  <si>
    <t>Oriente</t>
  </si>
  <si>
    <t>10.091.597-0</t>
  </si>
  <si>
    <t>09.123.456-9</t>
  </si>
  <si>
    <t>Dinara Lopez</t>
  </si>
  <si>
    <t>11.345.987-7</t>
  </si>
  <si>
    <t>Elisa Mota</t>
  </si>
  <si>
    <t>12.445.667-9</t>
  </si>
  <si>
    <t>Alicia Perez</t>
  </si>
  <si>
    <t>Vendedor</t>
  </si>
  <si>
    <t>N°</t>
  </si>
  <si>
    <t>Total  $</t>
  </si>
  <si>
    <t>Datos Con Operadores de Comparación</t>
  </si>
  <si>
    <t>Sobre Monto $</t>
  </si>
  <si>
    <t>Agencia</t>
  </si>
  <si>
    <t>Comisión 4%</t>
  </si>
  <si>
    <t>Promedio $</t>
  </si>
  <si>
    <t>Total Comis $</t>
  </si>
  <si>
    <t>Arica</t>
  </si>
  <si>
    <t>Valdivia</t>
  </si>
  <si>
    <t>Temuco</t>
  </si>
  <si>
    <t>Iquique</t>
  </si>
  <si>
    <t>ENTRE</t>
  </si>
  <si>
    <t>Antofagasta</t>
  </si>
  <si>
    <t>Valor Uno &gt;=</t>
  </si>
  <si>
    <t>Santiago</t>
  </si>
  <si>
    <t>Valor Dos &lt;=</t>
  </si>
  <si>
    <t>Razon Social</t>
  </si>
  <si>
    <t>Ciudad</t>
  </si>
  <si>
    <t>Neto</t>
  </si>
  <si>
    <t>Iva</t>
  </si>
  <si>
    <t>Estado</t>
  </si>
  <si>
    <t>FECHA</t>
  </si>
  <si>
    <t>86.053.528-1</t>
  </si>
  <si>
    <t xml:space="preserve">RUDESCO S.A.                                                          </t>
  </si>
  <si>
    <t>Pagada</t>
  </si>
  <si>
    <t>89.040.399-5</t>
  </si>
  <si>
    <t xml:space="preserve">INVERSIONES Y NEGOCIOS S.A.                                           </t>
  </si>
  <si>
    <t>LA SERENA</t>
  </si>
  <si>
    <t>Impaga</t>
  </si>
  <si>
    <t>80.002.071-2</t>
  </si>
  <si>
    <t xml:space="preserve">PROMOTORA DE PROYECTOS S. A.                                          </t>
  </si>
  <si>
    <t>ANTOFAGASTA</t>
  </si>
  <si>
    <t>80.002.541-8</t>
  </si>
  <si>
    <t xml:space="preserve">LINHAMDAN ARBOLEDA LTDA.                                 </t>
  </si>
  <si>
    <t>83.001.353-4</t>
  </si>
  <si>
    <t xml:space="preserve">SOUTH AMERICAN ENGINEERING INC                                        </t>
  </si>
  <si>
    <t>86.009.023-0</t>
  </si>
  <si>
    <t xml:space="preserve">DIGALI S.A.                                                           </t>
  </si>
  <si>
    <t>TEMUCO</t>
  </si>
  <si>
    <t>86.052.108-6</t>
  </si>
  <si>
    <t xml:space="preserve">INVERITAKA LTDA                                                       </t>
  </si>
  <si>
    <t>89.040.483-5</t>
  </si>
  <si>
    <t xml:space="preserve">COMPAÑIA COMERCIAL EL DORADO LTDA                                     </t>
  </si>
  <si>
    <t>TOTAL $</t>
  </si>
  <si>
    <t>TOTAL FACTURAS IMPAGAS</t>
  </si>
  <si>
    <t>TOTAL FACTURAS PAGADAS</t>
  </si>
  <si>
    <t>PROMEDIO</t>
  </si>
  <si>
    <t>ESTADO</t>
  </si>
  <si>
    <t>PRUEBA LOGICA</t>
  </si>
  <si>
    <t>SECTOR</t>
  </si>
  <si>
    <t>BONO SECTOR</t>
  </si>
  <si>
    <t>BONO SECTOR II</t>
  </si>
  <si>
    <t>%</t>
  </si>
  <si>
    <t>SUR</t>
  </si>
  <si>
    <t>CENTRO</t>
  </si>
  <si>
    <t>ADIC. %</t>
  </si>
  <si>
    <t>Nombre Profesional</t>
  </si>
  <si>
    <t>Adicional $</t>
  </si>
  <si>
    <t>Total Final $</t>
  </si>
  <si>
    <t>11.111.111-1</t>
  </si>
  <si>
    <t>Validar datos</t>
  </si>
  <si>
    <t>SI.Error</t>
  </si>
  <si>
    <t>Coincidir</t>
  </si>
  <si>
    <t>jbeltrand@gmail.com</t>
  </si>
  <si>
    <t>Etiquetas de fila</t>
  </si>
  <si>
    <t>Total general</t>
  </si>
  <si>
    <t>Suma de IMPONIBLE</t>
  </si>
  <si>
    <t>Etiquetas de columna</t>
  </si>
  <si>
    <t>Total ADMINISTRATIVO</t>
  </si>
  <si>
    <t>Total GERENTE</t>
  </si>
  <si>
    <t>Total SECRETARIA</t>
  </si>
  <si>
    <t>Total VENDEDOR</t>
  </si>
  <si>
    <t>TOTALIMPONIBLE</t>
  </si>
  <si>
    <t>Cuenta de IMPONIBLE</t>
  </si>
  <si>
    <t>Suma de Impuesto</t>
  </si>
  <si>
    <t>Suma de ALiquido</t>
  </si>
  <si>
    <t>IMPUEST</t>
  </si>
  <si>
    <t>Total CAPITAL</t>
  </si>
  <si>
    <t>Total CUPRUM</t>
  </si>
  <si>
    <t>Total HABITAT</t>
  </si>
  <si>
    <t>Total PROVIDA</t>
  </si>
  <si>
    <t>Nuevo Integrante</t>
  </si>
  <si>
    <t>Suma de Total</t>
  </si>
  <si>
    <t>Total Norte</t>
  </si>
  <si>
    <t>Total Oriente</t>
  </si>
  <si>
    <t>Total Poniente</t>
  </si>
  <si>
    <t>Total Sur</t>
  </si>
  <si>
    <t>Contar.Si</t>
  </si>
  <si>
    <t>Sumar.Si</t>
  </si>
  <si>
    <t>Promedio.si</t>
  </si>
  <si>
    <t>Col.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</si>
</sst>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164" formatCode="0.0"/>
    <numFmt numFmtId="165" formatCode="dd/mm/yyyy;@"/>
    <numFmt numFmtId="166" formatCode="&quot;$&quot;#,##0.00_);[Red]\(&quot;$&quot;#,##0.00\)"/>
    <numFmt numFmtId="167" formatCode="&quot;$&quot;#,##0_);[Red]\(&quot;$&quot;#,##0\)"/>
    <numFmt numFmtId="168" formatCode="dd\-mm\-yy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jpn_boot"/>
    </font>
    <font>
      <sz val="10"/>
      <name val="Arial"/>
      <family val="2"/>
    </font>
    <font>
      <b/>
      <sz val="10"/>
      <name val="MS Sans Serif"/>
      <family val="2"/>
    </font>
    <font>
      <sz val="10"/>
      <name val="MS Sans Serif"/>
      <family val="2"/>
    </font>
    <font>
      <b/>
      <sz val="10"/>
      <name val="Arial"/>
      <family val="2"/>
    </font>
    <font>
      <sz val="8"/>
      <name val="Arial"/>
      <family val="2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theme="6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theme="6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6"/>
      </left>
      <right/>
      <top style="thin">
        <color theme="6"/>
      </top>
      <bottom style="thin">
        <color indexed="64"/>
      </bottom>
      <diagonal/>
    </border>
    <border>
      <left/>
      <right/>
      <top style="thin">
        <color theme="6"/>
      </top>
      <bottom style="thin">
        <color indexed="64"/>
      </bottom>
      <diagonal/>
    </border>
    <border>
      <left style="thin">
        <color theme="4" tint="0.39997558519241921"/>
      </left>
      <right/>
      <top/>
      <bottom style="thin">
        <color indexed="64"/>
      </bottom>
      <diagonal/>
    </border>
    <border>
      <left/>
      <right style="thin">
        <color theme="4" tint="0.39997558519241921"/>
      </right>
      <top/>
      <bottom style="thin">
        <color indexed="64"/>
      </bottom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80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3" fontId="0" fillId="0" borderId="0" xfId="0" applyNumberFormat="1"/>
    <xf numFmtId="3" fontId="0" fillId="0" borderId="1" xfId="0" applyNumberFormat="1" applyBorder="1"/>
    <xf numFmtId="3" fontId="0" fillId="0" borderId="2" xfId="0" applyNumberFormat="1" applyBorder="1"/>
    <xf numFmtId="0" fontId="0" fillId="2" borderId="3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3" xfId="0" applyFill="1" applyBorder="1"/>
    <xf numFmtId="0" fontId="0" fillId="3" borderId="3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3" fontId="0" fillId="0" borderId="10" xfId="0" applyNumberFormat="1" applyBorder="1"/>
    <xf numFmtId="0" fontId="0" fillId="0" borderId="2" xfId="0" applyBorder="1"/>
    <xf numFmtId="10" fontId="0" fillId="0" borderId="2" xfId="0" applyNumberFormat="1" applyBorder="1"/>
    <xf numFmtId="0" fontId="0" fillId="0" borderId="2" xfId="0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12" xfId="0" applyFont="1" applyFill="1" applyBorder="1"/>
    <xf numFmtId="0" fontId="2" fillId="4" borderId="1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left"/>
    </xf>
    <xf numFmtId="0" fontId="2" fillId="4" borderId="12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0" fillId="5" borderId="2" xfId="0" applyFill="1" applyBorder="1" applyAlignment="1">
      <alignment horizontal="center"/>
    </xf>
    <xf numFmtId="0" fontId="0" fillId="5" borderId="2" xfId="0" applyFill="1" applyBorder="1"/>
    <xf numFmtId="0" fontId="0" fillId="5" borderId="2" xfId="0" applyFill="1" applyBorder="1" applyAlignment="1">
      <alignment horizontal="left"/>
    </xf>
    <xf numFmtId="165" fontId="0" fillId="0" borderId="0" xfId="0" applyNumberFormat="1"/>
    <xf numFmtId="0" fontId="2" fillId="4" borderId="0" xfId="0" applyFont="1" applyFill="1" applyAlignment="1">
      <alignment horizontal="left"/>
    </xf>
    <xf numFmtId="0" fontId="0" fillId="0" borderId="5" xfId="0" applyBorder="1"/>
    <xf numFmtId="0" fontId="0" fillId="0" borderId="0" xfId="0" applyAlignment="1">
      <alignment horizontal="left"/>
    </xf>
    <xf numFmtId="0" fontId="3" fillId="0" borderId="0" xfId="0" applyFont="1"/>
    <xf numFmtId="0" fontId="0" fillId="6" borderId="1" xfId="0" applyFill="1" applyBorder="1" applyAlignment="1">
      <alignment horizontal="center"/>
    </xf>
    <xf numFmtId="0" fontId="0" fillId="5" borderId="3" xfId="0" applyFill="1" applyBorder="1"/>
    <xf numFmtId="0" fontId="0" fillId="5" borderId="3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0" borderId="10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7" fillId="0" borderId="0" xfId="0" applyFont="1" applyAlignment="1">
      <alignment horizontal="center"/>
    </xf>
    <xf numFmtId="168" fontId="7" fillId="0" borderId="0" xfId="0" applyNumberFormat="1" applyFont="1" applyAlignment="1">
      <alignment horizontal="center"/>
    </xf>
    <xf numFmtId="0" fontId="7" fillId="0" borderId="0" xfId="0" applyFont="1"/>
    <xf numFmtId="3" fontId="7" fillId="0" borderId="0" xfId="0" applyNumberFormat="1" applyFont="1"/>
    <xf numFmtId="0" fontId="7" fillId="0" borderId="1" xfId="0" applyFont="1" applyBorder="1" applyAlignment="1">
      <alignment horizontal="center"/>
    </xf>
    <xf numFmtId="168" fontId="7" fillId="0" borderId="1" xfId="0" applyNumberFormat="1" applyFont="1" applyBorder="1" applyAlignment="1">
      <alignment horizontal="center"/>
    </xf>
    <xf numFmtId="0" fontId="7" fillId="0" borderId="1" xfId="0" applyFont="1" applyBorder="1"/>
    <xf numFmtId="3" fontId="7" fillId="0" borderId="1" xfId="0" applyNumberFormat="1" applyFont="1" applyBorder="1"/>
    <xf numFmtId="0" fontId="8" fillId="10" borderId="6" xfId="0" applyFont="1" applyFill="1" applyBorder="1" applyAlignment="1">
      <alignment horizontal="center"/>
    </xf>
    <xf numFmtId="0" fontId="8" fillId="10" borderId="3" xfId="0" applyFont="1" applyFill="1" applyBorder="1" applyAlignment="1">
      <alignment horizontal="center"/>
    </xf>
    <xf numFmtId="0" fontId="8" fillId="10" borderId="7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3" fontId="0" fillId="0" borderId="0" xfId="3" applyNumberFormat="1" applyFont="1" applyBorder="1"/>
    <xf numFmtId="2" fontId="0" fillId="0" borderId="2" xfId="0" applyNumberFormat="1" applyBorder="1"/>
    <xf numFmtId="0" fontId="0" fillId="0" borderId="4" xfId="0" applyBorder="1"/>
    <xf numFmtId="3" fontId="0" fillId="0" borderId="1" xfId="3" applyNumberFormat="1" applyFont="1" applyBorder="1"/>
    <xf numFmtId="0" fontId="0" fillId="0" borderId="0" xfId="0" applyAlignment="1">
      <alignment horizontal="left"/>
    </xf>
    <xf numFmtId="0" fontId="0" fillId="5" borderId="1" xfId="0" applyFill="1" applyBorder="1" applyAlignment="1">
      <alignment horizontal="center"/>
    </xf>
    <xf numFmtId="0" fontId="7" fillId="0" borderId="1" xfId="0" applyFont="1" applyBorder="1"/>
    <xf numFmtId="0" fontId="7" fillId="9" borderId="6" xfId="0" applyFont="1" applyFill="1" applyBorder="1"/>
    <xf numFmtId="0" fontId="7" fillId="9" borderId="7" xfId="0" applyFont="1" applyFill="1" applyBorder="1"/>
    <xf numFmtId="0" fontId="0" fillId="0" borderId="2" xfId="0" applyBorder="1" applyAlignment="1">
      <alignment horizontal="center" vertical="center"/>
    </xf>
    <xf numFmtId="0" fontId="0" fillId="11" borderId="0" xfId="0" applyFill="1" applyAlignment="1">
      <alignment horizontal="center"/>
    </xf>
    <xf numFmtId="0" fontId="9" fillId="0" borderId="0" xfId="4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 indent="1"/>
    </xf>
    <xf numFmtId="10" fontId="0" fillId="0" borderId="0" xfId="0" applyNumberFormat="1"/>
    <xf numFmtId="0" fontId="0" fillId="7" borderId="1" xfId="0" applyFill="1" applyBorder="1" applyAlignment="1">
      <alignment horizontal="center"/>
    </xf>
    <xf numFmtId="3" fontId="0" fillId="7" borderId="1" xfId="0" applyNumberFormat="1" applyFill="1" applyBorder="1" applyAlignment="1">
      <alignment horizontal="center"/>
    </xf>
    <xf numFmtId="0" fontId="3" fillId="8" borderId="13" xfId="1" applyFont="1" applyFill="1" applyBorder="1" applyAlignment="1">
      <alignment horizontal="center"/>
    </xf>
    <xf numFmtId="0" fontId="3" fillId="8" borderId="1" xfId="1" applyFont="1" applyFill="1" applyBorder="1" applyAlignment="1">
      <alignment horizontal="center"/>
    </xf>
    <xf numFmtId="167" fontId="6" fillId="8" borderId="14" xfId="2" applyNumberFormat="1" applyFont="1" applyFill="1" applyBorder="1" applyAlignment="1">
      <alignment horizontal="center"/>
    </xf>
    <xf numFmtId="0" fontId="0" fillId="0" borderId="0" xfId="0" applyBorder="1"/>
    <xf numFmtId="3" fontId="0" fillId="0" borderId="0" xfId="0" applyNumberFormat="1" applyBorder="1"/>
    <xf numFmtId="167" fontId="6" fillId="8" borderId="1" xfId="2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7" fillId="0" borderId="2" xfId="0" applyNumberFormat="1" applyFont="1" applyBorder="1" applyAlignment="1">
      <alignment horizontal="center"/>
    </xf>
  </cellXfs>
  <cellStyles count="5">
    <cellStyle name="Heading" xfId="1" xr:uid="{020C1848-817A-4FB7-B034-826DEF443B65}"/>
    <cellStyle name="Hipervínculo" xfId="4" builtinId="8"/>
    <cellStyle name="Millares [0] 2" xfId="3" xr:uid="{1C62034E-415A-4907-87B9-38715FA6B638}"/>
    <cellStyle name="Moneda_Relacion de personal (base)" xfId="2" xr:uid="{18B8D9C4-F332-44B5-ABBB-3162CF28EBDB}"/>
    <cellStyle name="Normal" xfId="0" builtinId="0"/>
  </cellStyles>
  <dxfs count="24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7" formatCode="&quot;$&quot;#,##0_);[Red]\(&quot;$&quot;#,##0\)"/>
      <fill>
        <patternFill patternType="solid">
          <fgColor indexed="24"/>
          <bgColor theme="9" tint="0.59999389629810485"/>
        </patternFill>
      </fill>
      <alignment horizontal="center" vertical="bottom" textRotation="0" wrapText="0" indent="0" justifyLastLine="0" shrinkToFit="0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24"/>
          <bgColor theme="9" tint="0.59999389629810485"/>
        </patternFill>
      </fill>
      <alignment horizontal="center" vertical="bottom" textRotation="0" wrapText="0" indent="0" justifyLastLine="0" shrinkToFit="0" readingOrder="0"/>
    </dxf>
    <dxf>
      <numFmt numFmtId="3" formatCode="#,##0"/>
    </dxf>
    <dxf>
      <border outline="0"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numFmt numFmtId="3" formatCode="#,##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3" formatCode="#,##0"/>
    </dxf>
    <dxf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</dxf>
    <dxf>
      <numFmt numFmtId="3" formatCode="#,##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1.xml"/><Relationship Id="rId33" Type="http://schemas.openxmlformats.org/officeDocument/2006/relationships/powerPivotData" Target="model/item.data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3.xml"/><Relationship Id="rId30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[Clase_0602_Avanz_2.xlsx]Tablas Dinamicas!TablaDinámica4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753318741294523"/>
          <c:y val="0.35888079106390763"/>
          <c:w val="0.63424770459649227"/>
          <c:h val="0.2506315082707684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'Tablas Dinamicas'!$L$2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'Tablas Dinamicas'!$K$3:$K$6</c:f>
              <c:strCache>
                <c:ptCount val="3"/>
                <c:pt idx="0">
                  <c:v>RR.HH</c:v>
                </c:pt>
                <c:pt idx="1">
                  <c:v>FINANZAS</c:v>
                </c:pt>
                <c:pt idx="2">
                  <c:v>VENTAS</c:v>
                </c:pt>
              </c:strCache>
            </c:strRef>
          </c:cat>
          <c:val>
            <c:numRef>
              <c:f>'Tablas Dinamicas'!$L$3:$L$6</c:f>
              <c:numCache>
                <c:formatCode>0.00%</c:formatCode>
                <c:ptCount val="3"/>
                <c:pt idx="0">
                  <c:v>0.31551743723730541</c:v>
                </c:pt>
                <c:pt idx="1">
                  <c:v>0.1494376916960127</c:v>
                </c:pt>
                <c:pt idx="2">
                  <c:v>0.53504487106668186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84-4B26-9275-10EBF142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36570672"/>
        <c:axId val="1116105615"/>
        <c:axId val="0"/>
      </c:bar3DChart>
      <c:catAx>
        <c:axId val="113657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116105615"/>
        <c:crosses val="autoZero"/>
        <c:auto val="1"/>
        <c:lblAlgn val="ctr"/>
        <c:lblOffset val="100"/>
        <c:noMultiLvlLbl val="0"/>
      </c:catAx>
      <c:valAx>
        <c:axId val="1116105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1365706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accent3">
            <a:lumMod val="110000"/>
            <a:satMod val="105000"/>
            <a:tint val="67000"/>
          </a:schemeClr>
        </a:gs>
        <a:gs pos="50000">
          <a:schemeClr val="accent3">
            <a:lumMod val="105000"/>
            <a:satMod val="103000"/>
            <a:tint val="73000"/>
          </a:schemeClr>
        </a:gs>
        <a:gs pos="100000">
          <a:schemeClr val="accent3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31" fmlaLink="$A$1" fmlaRange="$B$3:$B$11" noThreeD="1" sel="5"/>
</file>

<file path=xl/ctrlProps/ctrlProp2.xml><?xml version="1.0" encoding="utf-8"?>
<formControlPr xmlns="http://schemas.microsoft.com/office/spreadsheetml/2009/9/main" objectType="Drop" dropStyle="combo" dx="31" fmlaLink="$B$1" fmlaRange="$C$3:$C$11" noThreeD="1" sel="9"/>
</file>

<file path=xl/ctrlProps/ctrlProp3.xml><?xml version="1.0" encoding="utf-8"?>
<formControlPr xmlns="http://schemas.microsoft.com/office/spreadsheetml/2009/9/main" objectType="List" dx="31" fmlaLink="$A$1" fmlaRange="$C$3:$C$11" noThreeD="1" sel="4" val="0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69850</xdr:colOff>
          <xdr:row>0</xdr:row>
          <xdr:rowOff>158750</xdr:rowOff>
        </xdr:from>
        <xdr:to>
          <xdr:col>9</xdr:col>
          <xdr:colOff>12700</xdr:colOff>
          <xdr:row>2</xdr:row>
          <xdr:rowOff>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82550</xdr:colOff>
          <xdr:row>9</xdr:row>
          <xdr:rowOff>12700</xdr:rowOff>
        </xdr:from>
        <xdr:to>
          <xdr:col>12</xdr:col>
          <xdr:colOff>628650</xdr:colOff>
          <xdr:row>10</xdr:row>
          <xdr:rowOff>38100</xdr:rowOff>
        </xdr:to>
        <xdr:sp macro="" textlink="">
          <xdr:nvSpPr>
            <xdr:cNvPr id="8194" name="Drop Dow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374650</xdr:colOff>
          <xdr:row>8</xdr:row>
          <xdr:rowOff>114300</xdr:rowOff>
        </xdr:from>
        <xdr:to>
          <xdr:col>11</xdr:col>
          <xdr:colOff>501650</xdr:colOff>
          <xdr:row>15</xdr:row>
          <xdr:rowOff>88900</xdr:rowOff>
        </xdr:to>
        <xdr:sp macro="" textlink="">
          <xdr:nvSpPr>
            <xdr:cNvPr id="9217" name="List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527050</xdr:colOff>
      <xdr:row>6</xdr:row>
      <xdr:rowOff>120649</xdr:rowOff>
    </xdr:from>
    <xdr:to>
      <xdr:col>13</xdr:col>
      <xdr:colOff>317500</xdr:colOff>
      <xdr:row>16</xdr:row>
      <xdr:rowOff>165100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5DBC29C-5AD9-D262-00D6-6DDB60904E9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69850</xdr:colOff>
      <xdr:row>1</xdr:row>
      <xdr:rowOff>139700</xdr:rowOff>
    </xdr:from>
    <xdr:to>
      <xdr:col>11</xdr:col>
      <xdr:colOff>584200</xdr:colOff>
      <xdr:row>2</xdr:row>
      <xdr:rowOff>158750</xdr:rowOff>
    </xdr:to>
    <xdr:cxnSp macro="">
      <xdr:nvCxnSpPr>
        <xdr:cNvPr id="2" name="Conector recto de flecha 1">
          <a:extLst>
            <a:ext uri="{FF2B5EF4-FFF2-40B4-BE49-F238E27FC236}">
              <a16:creationId xmlns:a16="http://schemas.microsoft.com/office/drawing/2014/main" id="{7A66B76C-0F4A-48D8-AB1E-FCE0EF3E7FC7}"/>
            </a:ext>
          </a:extLst>
        </xdr:cNvPr>
        <xdr:cNvCxnSpPr/>
      </xdr:nvCxnSpPr>
      <xdr:spPr>
        <a:xfrm flipV="1">
          <a:off x="7797800" y="323850"/>
          <a:ext cx="1111250" cy="203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127000</xdr:colOff>
      <xdr:row>3</xdr:row>
      <xdr:rowOff>69850</xdr:rowOff>
    </xdr:from>
    <xdr:to>
      <xdr:col>11</xdr:col>
      <xdr:colOff>577850</xdr:colOff>
      <xdr:row>4</xdr:row>
      <xdr:rowOff>12700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A23A10DA-2324-4440-82F7-8A368C657E27}"/>
            </a:ext>
          </a:extLst>
        </xdr:cNvPr>
        <xdr:cNvCxnSpPr/>
      </xdr:nvCxnSpPr>
      <xdr:spPr>
        <a:xfrm>
          <a:off x="7854950" y="622300"/>
          <a:ext cx="1047750" cy="127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Carlos Beltrand" refreshedDate="45328.744064583334" createdVersion="8" refreshedVersion="8" minRefreshableVersion="3" recordCount="12" xr:uid="{0465D278-412A-4B3D-AEE1-89D6B09F1E26}">
  <cacheSource type="worksheet">
    <worksheetSource ref="B2:I14" sheet="Tablas Dinamicas"/>
  </cacheSource>
  <cacheFields count="10">
    <cacheField name="RUT" numFmtId="0">
      <sharedItems/>
    </cacheField>
    <cacheField name="NOMBRE" numFmtId="0">
      <sharedItems count="12">
        <s v="Azócar Riffo Herminda"/>
        <s v="Araya Garate Alicia"/>
        <s v="Catalán Toro Armanda"/>
        <s v="Contreras Márquez Laura"/>
        <s v="Chávez González Elsa"/>
        <s v="Blanco Vera Washington"/>
        <s v="Aranguiz Figueroa Carlos"/>
        <s v="Acevedo Navarro José"/>
        <s v="Alarcón Casanova Sergio"/>
        <s v="Calderón Galaz Jose"/>
        <s v="Armijo Lizama Leonardo"/>
        <s v="Aranguiz Figueroa Emilio"/>
      </sharedItems>
    </cacheField>
    <cacheField name="SEXO" numFmtId="0">
      <sharedItems/>
    </cacheField>
    <cacheField name="AFP" numFmtId="0">
      <sharedItems/>
    </cacheField>
    <cacheField name="SALUD" numFmtId="0">
      <sharedItems/>
    </cacheField>
    <cacheField name="CARGO" numFmtId="0">
      <sharedItems count="4">
        <s v="ADMINISTRATIVO"/>
        <s v="SECRETARIA"/>
        <s v="GERENTE"/>
        <s v="VENDEDOR"/>
      </sharedItems>
    </cacheField>
    <cacheField name="CENTRO COSTO" numFmtId="0">
      <sharedItems count="3">
        <s v="VENTAS"/>
        <s v="RR.HH"/>
        <s v="FINANZAS"/>
      </sharedItems>
    </cacheField>
    <cacheField name="IMPONIBLE" numFmtId="3">
      <sharedItems containsSemiMixedTypes="0" containsString="0" containsNumber="1" containsInteger="1" minValue="408000" maxValue="800000"/>
    </cacheField>
    <cacheField name="Impuesto" numFmtId="0" formula="IMPONIBLE *13.75%" databaseField="0"/>
    <cacheField name="ALiquido" numFmtId="0" formula="IMPONIBLE -Impuest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Carlos Beltrand" refreshedDate="45328.755771643519" createdVersion="8" refreshedVersion="8" minRefreshableVersion="3" recordCount="13" xr:uid="{4E969425-40B3-42C9-BDC9-8E2E34238E91}">
  <cacheSource type="worksheet">
    <worksheetSource name="BaseDat"/>
  </cacheSource>
  <cacheFields count="9">
    <cacheField name="RUT" numFmtId="0">
      <sharedItems/>
    </cacheField>
    <cacheField name="NOMBRE" numFmtId="0">
      <sharedItems count="13">
        <s v="Azócar Riffo Herminda"/>
        <s v="Araya Garate Alicia"/>
        <s v="Catalán Toro Armanda"/>
        <s v="Contreras Márquez Laura"/>
        <s v="Chávez González Elsa"/>
        <s v="Blanco Vera Washington"/>
        <s v="Aranguiz Figueroa Carlos"/>
        <s v="Acevedo Navarro José"/>
        <s v="Alarcón Casanova Sergio"/>
        <s v="Calderón Galaz Jose"/>
        <s v="Armijo Lizama Leonardo"/>
        <s v="Aranguiz Figueroa Emilio"/>
        <s v="Nuevo Integrante"/>
      </sharedItems>
    </cacheField>
    <cacheField name="SEXO" numFmtId="0">
      <sharedItems/>
    </cacheField>
    <cacheField name="AFP" numFmtId="0">
      <sharedItems count="4">
        <s v="CUPRUM"/>
        <s v="CAPITAL"/>
        <s v="PROVIDA"/>
        <s v="HABITAT"/>
      </sharedItems>
    </cacheField>
    <cacheField name="SALUD" numFmtId="0">
      <sharedItems/>
    </cacheField>
    <cacheField name="CARGO" numFmtId="0">
      <sharedItems/>
    </cacheField>
    <cacheField name="CENTRO COSTO" numFmtId="0">
      <sharedItems/>
    </cacheField>
    <cacheField name="IMPONIBLE" numFmtId="3">
      <sharedItems containsSemiMixedTypes="0" containsString="0" containsNumber="1" containsInteger="1" minValue="408000" maxValue="800000"/>
    </cacheField>
    <cacheField name="IMPUEST" numFmtId="3">
      <sharedItems containsSemiMixedTypes="0" containsString="0" containsNumber="1" containsInteger="1" minValue="53040" maxValue="104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Juan Carlos Beltrand" refreshedDate="45328.762928472221" backgroundQuery="1" createdVersion="8" refreshedVersion="8" minRefreshableVersion="3" recordCount="0" supportSubquery="1" supportAdvancedDrill="1" xr:uid="{9D69A204-9175-420C-BD37-6FFEE4292242}">
  <cacheSource type="external" connectionId="1"/>
  <cacheFields count="3">
    <cacheField name="[TMaestra].[Zona].[Zona]" caption="Zona" numFmtId="0" hierarchy="7" level="1">
      <sharedItems count="4">
        <s v="Norte"/>
        <s v="Oriente"/>
        <s v="Poniente"/>
        <s v="Sur"/>
      </sharedItems>
    </cacheField>
    <cacheField name="[Measures].[Suma de Total]" caption="Suma de Total" numFmtId="0" hierarchy="12" level="32767"/>
    <cacheField name="[TMaestra].[Nombre].[Nombre]" caption="Nombre" numFmtId="0" hierarchy="6" level="1">
      <sharedItems count="14">
        <s v="Armijo Lizama Leonardo"/>
        <s v="Belmar Hormazábal Rodrigo"/>
        <s v="Castro Córdova Silvia"/>
        <s v="Chávez González Elsa"/>
        <s v="Contreras Márquez Laura"/>
        <s v="Elisa Mota"/>
        <s v="Alarcón Casanova Sergio"/>
        <s v="Alicia Perez"/>
        <s v="Blanco Vera Washington"/>
        <s v="Dinara Lopez"/>
        <s v="Acevedo Navarro José"/>
        <s v="Astudillo Pereira Verónica"/>
        <s v="Calderón Galaz Jose"/>
        <s v="Catalán Toro Armanda"/>
      </sharedItems>
    </cacheField>
  </cacheFields>
  <cacheHierarchies count="13">
    <cacheHierarchy uniqueName="[TDetalle].[ID]" caption="ID" attribute="1" defaultMemberUniqueName="[TDetalle].[ID].[All]" allUniqueName="[TDetalle].[ID].[All]" dimensionUniqueName="[TDetalle]" displayFolder="" count="0" memberValueDatatype="130" unbalanced="0"/>
    <cacheHierarchy uniqueName="[TDetalle].[Enero]" caption="Enero" attribute="1" defaultMemberUniqueName="[TDetalle].[Enero].[All]" allUniqueName="[TDetalle].[Enero].[All]" dimensionUniqueName="[TDetalle]" displayFolder="" count="0" memberValueDatatype="20" unbalanced="0"/>
    <cacheHierarchy uniqueName="[TDetalle].[Febrero]" caption="Febrero" attribute="1" defaultMemberUniqueName="[TDetalle].[Febrero].[All]" allUniqueName="[TDetalle].[Febrero].[All]" dimensionUniqueName="[TDetalle]" displayFolder="" count="0" memberValueDatatype="20" unbalanced="0"/>
    <cacheHierarchy uniqueName="[TDetalle].[Marzo]" caption="Marzo" attribute="1" defaultMemberUniqueName="[TDetalle].[Marzo].[All]" allUniqueName="[TDetalle].[Marzo].[All]" dimensionUniqueName="[TDetalle]" displayFolder="" count="0" memberValueDatatype="20" unbalanced="0"/>
    <cacheHierarchy uniqueName="[TDetalle].[Total]" caption="Total" attribute="1" defaultMemberUniqueName="[TDetalle].[Total].[All]" allUniqueName="[TDetalle].[Total].[All]" dimensionUniqueName="[TDetalle]" displayFolder="" count="0" memberValueDatatype="20" unbalanced="0"/>
    <cacheHierarchy uniqueName="[TMaestra].[ID]" caption="ID" attribute="1" defaultMemberUniqueName="[TMaestra].[ID].[All]" allUniqueName="[TMaestra].[ID].[All]" dimensionUniqueName="[TMaestra]" displayFolder="" count="0" memberValueDatatype="130" unbalanced="0"/>
    <cacheHierarchy uniqueName="[TMaestra].[Nombre]" caption="Nombre" attribute="1" defaultMemberUniqueName="[TMaestra].[Nombre].[All]" allUniqueName="[TMaestra].[Nombre].[All]" dimensionUniqueName="[TMaestra]" displayFolder="" count="2" memberValueDatatype="130" unbalanced="0">
      <fieldsUsage count="2">
        <fieldUsage x="-1"/>
        <fieldUsage x="2"/>
      </fieldsUsage>
    </cacheHierarchy>
    <cacheHierarchy uniqueName="[TMaestra].[Zona]" caption="Zona" attribute="1" defaultMemberUniqueName="[TMaestra].[Zona].[All]" allUniqueName="[TMaestra].[Zona].[All]" dimensionUniqueName="[TMaestra]" displayFolder="" count="2" memberValueDatatype="130" unbalanced="0">
      <fieldsUsage count="2">
        <fieldUsage x="-1"/>
        <fieldUsage x="0"/>
      </fieldsUsage>
    </cacheHierarchy>
    <cacheHierarchy uniqueName="[TMaestra].[SBase]" caption="SBase" attribute="1" defaultMemberUniqueName="[TMaestra].[SBase].[All]" allUniqueName="[TMaestra].[SBase].[All]" dimensionUniqueName="[TMaestra]" displayFolder="" count="0" memberValueDatatype="20" unbalanced="0"/>
    <cacheHierarchy uniqueName="[Measures].[__XL_Count TDetalle]" caption="__XL_Count TDetalle" measure="1" displayFolder="" measureGroup="TDetalle" count="0" hidden="1"/>
    <cacheHierarchy uniqueName="[Measures].[__XL_Count TMaestra]" caption="__XL_Count TMaestra" measure="1" displayFolder="" measureGroup="TMaestra" count="0" hidden="1"/>
    <cacheHierarchy uniqueName="[Measures].[__No measures defined]" caption="__No measures defined" measure="1" displayFolder="" count="0" hidden="1"/>
    <cacheHierarchy uniqueName="[Measures].[Suma de Total]" caption="Suma de Total" measure="1" displayFolder="" measureGroup="TDetalle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3">
    <dimension measure="1" name="Measures" uniqueName="[Measures]" caption="Measures"/>
    <dimension name="TDetalle" uniqueName="[TDetalle]" caption="TDetalle"/>
    <dimension name="TMaestra" uniqueName="[TMaestra]" caption="TMaestra"/>
  </dimensions>
  <measureGroups count="2">
    <measureGroup name="TDetalle" caption="TDetalle"/>
    <measureGroup name="TMaestra" caption="TMaestra"/>
  </measureGroups>
  <maps count="3">
    <map measureGroup="0" dimension="1"/>
    <map measureGroup="0" dimension="2"/>
    <map measureGroup="1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s v="06.134.686-4"/>
    <x v="0"/>
    <s v="F"/>
    <s v="CUPRUM"/>
    <s v="Fonasa"/>
    <x v="0"/>
    <x v="0"/>
    <n v="800000"/>
  </r>
  <r>
    <s v="05.990.979-7"/>
    <x v="1"/>
    <s v="F"/>
    <s v="CUPRUM"/>
    <s v="ING"/>
    <x v="0"/>
    <x v="0"/>
    <n v="710000"/>
  </r>
  <r>
    <s v="05.334.664-2"/>
    <x v="2"/>
    <s v="F"/>
    <s v="CAPITAL"/>
    <s v="Consalud"/>
    <x v="0"/>
    <x v="1"/>
    <n v="557000"/>
  </r>
  <r>
    <s v="06.388.776-5"/>
    <x v="3"/>
    <s v="F"/>
    <s v="CAPITAL"/>
    <s v="Consalud"/>
    <x v="0"/>
    <x v="1"/>
    <n v="657000"/>
  </r>
  <r>
    <s v="05.057.894-1"/>
    <x v="4"/>
    <s v="F"/>
    <s v="CAPITAL"/>
    <s v="Banmédica"/>
    <x v="1"/>
    <x v="0"/>
    <n v="466000"/>
  </r>
  <r>
    <s v="06.235.162-4"/>
    <x v="5"/>
    <s v="M"/>
    <s v="CAPITAL"/>
    <s v="Más Vida"/>
    <x v="0"/>
    <x v="0"/>
    <n v="528000"/>
  </r>
  <r>
    <s v="05.660.775-7"/>
    <x v="6"/>
    <s v="M"/>
    <s v="CAPITAL"/>
    <s v="Vida Plena"/>
    <x v="2"/>
    <x v="0"/>
    <n v="800000"/>
  </r>
  <r>
    <s v="05.512.105-2"/>
    <x v="7"/>
    <s v="M"/>
    <s v="PROVIDA"/>
    <s v="Consalud"/>
    <x v="1"/>
    <x v="1"/>
    <n v="408000"/>
  </r>
  <r>
    <s v="05.744.031-7"/>
    <x v="8"/>
    <s v="M"/>
    <s v="HABITAT"/>
    <s v="Sfera"/>
    <x v="1"/>
    <x v="2"/>
    <n v="470000"/>
  </r>
  <r>
    <s v="04.308.131-4"/>
    <x v="9"/>
    <s v="M"/>
    <s v="CUPRUM"/>
    <s v="Más Vida"/>
    <x v="1"/>
    <x v="2"/>
    <n v="582400"/>
  </r>
  <r>
    <s v="06.091.597-0"/>
    <x v="10"/>
    <s v="M"/>
    <s v="CAPITAL"/>
    <s v="Sfera"/>
    <x v="1"/>
    <x v="1"/>
    <n v="600000"/>
  </r>
  <r>
    <s v="05.299.873-5"/>
    <x v="11"/>
    <s v="M"/>
    <s v="CAPITAL"/>
    <s v="Tres Vida"/>
    <x v="3"/>
    <x v="0"/>
    <n v="4640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">
  <r>
    <s v="06.134.686-4"/>
    <x v="0"/>
    <s v="F"/>
    <x v="0"/>
    <s v="Fonasa"/>
    <s v="ADMINISTRATIVO"/>
    <s v="VENTAS"/>
    <n v="440000"/>
    <n v="57200"/>
  </r>
  <r>
    <s v="05.990.979-7"/>
    <x v="1"/>
    <s v="F"/>
    <x v="0"/>
    <s v="ING"/>
    <s v="ADMINISTRATIVO"/>
    <s v="VENTAS"/>
    <n v="650000"/>
    <n v="84500"/>
  </r>
  <r>
    <s v="05.334.664-2"/>
    <x v="2"/>
    <s v="F"/>
    <x v="1"/>
    <s v="Consalud"/>
    <s v="ADMINISTRATIVO"/>
    <s v="RR.HH"/>
    <n v="557000"/>
    <n v="72410"/>
  </r>
  <r>
    <s v="06.388.776-5"/>
    <x v="3"/>
    <s v="F"/>
    <x v="1"/>
    <s v="Consalud"/>
    <s v="ADMINISTRATIVO"/>
    <s v="RR.HH"/>
    <n v="657000"/>
    <n v="85410"/>
  </r>
  <r>
    <s v="05.057.894-1"/>
    <x v="4"/>
    <s v="F"/>
    <x v="1"/>
    <s v="Banmédica"/>
    <s v="SECRETARIA"/>
    <s v="VENTAS"/>
    <n v="466000"/>
    <n v="60580"/>
  </r>
  <r>
    <s v="06.235.162-4"/>
    <x v="5"/>
    <s v="M"/>
    <x v="1"/>
    <s v="Más Vida"/>
    <s v="ADMINISTRATIVO"/>
    <s v="VENTAS"/>
    <n v="528000"/>
    <n v="68640"/>
  </r>
  <r>
    <s v="05.660.775-7"/>
    <x v="6"/>
    <s v="M"/>
    <x v="1"/>
    <s v="Vida Plena"/>
    <s v="GERENTE"/>
    <s v="VENTAS"/>
    <n v="800000"/>
    <n v="104000"/>
  </r>
  <r>
    <s v="05.512.105-2"/>
    <x v="7"/>
    <s v="M"/>
    <x v="2"/>
    <s v="Consalud"/>
    <s v="SECRETARIA"/>
    <s v="RR.HH"/>
    <n v="408000"/>
    <n v="53040"/>
  </r>
  <r>
    <s v="05.744.031-7"/>
    <x v="8"/>
    <s v="M"/>
    <x v="3"/>
    <s v="Sfera"/>
    <s v="SECRETARIA"/>
    <s v="FINANZAS"/>
    <n v="470000"/>
    <n v="61100"/>
  </r>
  <r>
    <s v="04.308.131-4"/>
    <x v="9"/>
    <s v="M"/>
    <x v="0"/>
    <s v="Más Vida"/>
    <s v="SECRETARIA"/>
    <s v="FINANZAS"/>
    <n v="582400"/>
    <n v="75712"/>
  </r>
  <r>
    <s v="06.091.597-0"/>
    <x v="10"/>
    <s v="M"/>
    <x v="1"/>
    <s v="Sfera"/>
    <s v="SECRETARIA"/>
    <s v="RR.HH"/>
    <n v="600000"/>
    <n v="78000"/>
  </r>
  <r>
    <s v="05.299.873-5"/>
    <x v="11"/>
    <s v="M"/>
    <x v="1"/>
    <s v="Tres Vida"/>
    <s v="VENDEDOR"/>
    <s v="VENTAS"/>
    <n v="464000"/>
    <n v="60320"/>
  </r>
  <r>
    <s v="11.111.111-1"/>
    <x v="12"/>
    <s v="M"/>
    <x v="0"/>
    <s v="Fonasa"/>
    <s v="VENDEDOR"/>
    <s v="VENTAS"/>
    <n v="560000"/>
    <n v="728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E956E1-0329-4990-862E-5F1287F48A5C}" name="TablaDinámica1" cacheId="2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E25" firstHeaderRow="1" firstDataRow="2" firstDataCol="1"/>
  <pivotFields count="10">
    <pivotField subtotalTop="0" showAll="0"/>
    <pivotField axis="axisRow" subtotalTop="0" showAll="0">
      <items count="13">
        <item x="7"/>
        <item x="8"/>
        <item x="6"/>
        <item x="11"/>
        <item x="1"/>
        <item x="10"/>
        <item x="0"/>
        <item x="5"/>
        <item x="9"/>
        <item x="2"/>
        <item x="4"/>
        <item x="3"/>
        <item t="default"/>
      </items>
    </pivotField>
    <pivotField subtotalTop="0" showAll="0"/>
    <pivotField subtotalTop="0" showAll="0"/>
    <pivotField subtotalTop="0" showAll="0"/>
    <pivotField axis="axisRow" subtotalTop="0" showAll="0">
      <items count="5">
        <item x="0"/>
        <item x="2"/>
        <item x="1"/>
        <item x="3"/>
        <item t="default"/>
      </items>
    </pivotField>
    <pivotField axis="axisCol" subtotalTop="0" showAll="0">
      <items count="4">
        <item x="1"/>
        <item x="2"/>
        <item x="0"/>
        <item t="default"/>
      </items>
    </pivotField>
    <pivotField dataField="1" numFmtId="3" subtotalTop="0" showAll="0"/>
    <pivotField subtotalTop="0" dragToRow="0" dragToCol="0" dragToPage="0" showAll="0" defaultSubtotal="0"/>
    <pivotField subtotalTop="0" dragToRow="0" dragToCol="0" dragToPage="0" showAll="0" defaultSubtotal="0"/>
  </pivotFields>
  <rowFields count="2">
    <field x="5"/>
    <field x="1"/>
  </rowFields>
  <rowItems count="21">
    <i>
      <x/>
    </i>
    <i r="1">
      <x v="4"/>
    </i>
    <i r="1">
      <x v="6"/>
    </i>
    <i r="1">
      <x v="7"/>
    </i>
    <i r="1">
      <x v="9"/>
    </i>
    <i r="1">
      <x v="11"/>
    </i>
    <i t="default">
      <x/>
    </i>
    <i>
      <x v="1"/>
    </i>
    <i r="1">
      <x v="2"/>
    </i>
    <i t="default">
      <x v="1"/>
    </i>
    <i>
      <x v="2"/>
    </i>
    <i r="1">
      <x/>
    </i>
    <i r="1">
      <x v="1"/>
    </i>
    <i r="1">
      <x v="5"/>
    </i>
    <i r="1">
      <x v="8"/>
    </i>
    <i r="1">
      <x v="10"/>
    </i>
    <i t="default">
      <x v="2"/>
    </i>
    <i>
      <x v="3"/>
    </i>
    <i r="1">
      <x v="3"/>
    </i>
    <i t="default">
      <x v="3"/>
    </i>
    <i t="grand">
      <x/>
    </i>
  </rowItems>
  <colFields count="1">
    <field x="6"/>
  </colFields>
  <colItems count="4">
    <i>
      <x/>
    </i>
    <i>
      <x v="1"/>
    </i>
    <i>
      <x v="2"/>
    </i>
    <i t="grand">
      <x/>
    </i>
  </colItems>
  <dataFields count="1">
    <dataField name="Suma de IMPONIBLE" fld="7" baseField="5" baseItem="0" numFmtId="3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17B26D-6989-4454-A8F1-7DE11A68DBE4}" name="TablaDinámica2" cacheId="2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D24" firstHeaderRow="0" firstDataRow="1" firstDataCol="1"/>
  <pivotFields count="10">
    <pivotField subtotalTop="0" showAll="0"/>
    <pivotField axis="axisRow" subtotalTop="0" showAll="0">
      <items count="13">
        <item x="7"/>
        <item x="8"/>
        <item x="6"/>
        <item x="11"/>
        <item x="1"/>
        <item x="10"/>
        <item x="0"/>
        <item x="5"/>
        <item x="9"/>
        <item x="2"/>
        <item x="4"/>
        <item x="3"/>
        <item t="default"/>
      </items>
    </pivotField>
    <pivotField subtotalTop="0" showAll="0"/>
    <pivotField subtotalTop="0" showAll="0"/>
    <pivotField subtotalTop="0" showAll="0"/>
    <pivotField axis="axisRow" subtotalTop="0" showAll="0">
      <items count="5">
        <item x="0"/>
        <item x="2"/>
        <item x="1"/>
        <item x="3"/>
        <item t="default"/>
      </items>
    </pivotField>
    <pivotField subtotalTop="0" showAll="0"/>
    <pivotField dataField="1" numFmtId="3" subtotalTop="0" showAll="0"/>
    <pivotField subtotalTop="0" dragToRow="0" dragToCol="0" dragToPage="0" showAll="0" defaultSubtotal="0"/>
    <pivotField subtotalTop="0" dragToRow="0" dragToCol="0" dragToPage="0" showAll="0" defaultSubtotal="0"/>
  </pivotFields>
  <rowFields count="2">
    <field x="5"/>
    <field x="1"/>
  </rowFields>
  <rowItems count="21">
    <i>
      <x/>
    </i>
    <i r="1">
      <x v="4"/>
    </i>
    <i r="1">
      <x v="6"/>
    </i>
    <i r="1">
      <x v="7"/>
    </i>
    <i r="1">
      <x v="9"/>
    </i>
    <i r="1">
      <x v="11"/>
    </i>
    <i t="default">
      <x/>
    </i>
    <i>
      <x v="1"/>
    </i>
    <i r="1">
      <x v="2"/>
    </i>
    <i t="default">
      <x v="1"/>
    </i>
    <i>
      <x v="2"/>
    </i>
    <i r="1">
      <x/>
    </i>
    <i r="1">
      <x v="1"/>
    </i>
    <i r="1">
      <x v="5"/>
    </i>
    <i r="1">
      <x v="8"/>
    </i>
    <i r="1">
      <x v="10"/>
    </i>
    <i t="default">
      <x v="2"/>
    </i>
    <i>
      <x v="3"/>
    </i>
    <i r="1">
      <x v="3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TOTALIMPONIBLE" fld="7" baseField="5" baseItem="0" numFmtId="3"/>
    <dataField name="Cuenta de IMPONIBLE" fld="7" subtotal="count" baseField="5" baseItem="0"/>
    <dataField name="Suma de IMPONIBLE" fld="7" showDataAs="percentOfTota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A3FFE3-1B75-42AE-9020-B1EA52E2CDA1}" name="TablaDinámica3" cacheId="2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D24" firstHeaderRow="0" firstDataRow="1" firstDataCol="1"/>
  <pivotFields count="10">
    <pivotField subtotalTop="0" showAll="0"/>
    <pivotField axis="axisRow" subtotalTop="0" showAll="0">
      <items count="13">
        <item x="7"/>
        <item x="8"/>
        <item x="6"/>
        <item x="11"/>
        <item x="1"/>
        <item x="10"/>
        <item x="0"/>
        <item x="5"/>
        <item x="9"/>
        <item x="2"/>
        <item x="4"/>
        <item x="3"/>
        <item t="default"/>
      </items>
    </pivotField>
    <pivotField subtotalTop="0" showAll="0"/>
    <pivotField subtotalTop="0" showAll="0"/>
    <pivotField subtotalTop="0" showAll="0"/>
    <pivotField axis="axisRow" subtotalTop="0" showAll="0">
      <items count="5">
        <item x="0"/>
        <item x="2"/>
        <item x="1"/>
        <item x="3"/>
        <item t="default"/>
      </items>
    </pivotField>
    <pivotField subtotalTop="0" showAll="0"/>
    <pivotField dataField="1" numFmtId="3" subtotalTop="0" showAll="0"/>
    <pivotField dataField="1" subtotalTop="0" dragToRow="0" dragToCol="0" dragToPage="0" showAll="0"/>
    <pivotField dataField="1" subtotalTop="0" dragToRow="0" dragToCol="0" dragToPage="0" showAll="0"/>
  </pivotFields>
  <rowFields count="2">
    <field x="5"/>
    <field x="1"/>
  </rowFields>
  <rowItems count="21">
    <i>
      <x/>
    </i>
    <i r="1">
      <x v="4"/>
    </i>
    <i r="1">
      <x v="6"/>
    </i>
    <i r="1">
      <x v="7"/>
    </i>
    <i r="1">
      <x v="9"/>
    </i>
    <i r="1">
      <x v="11"/>
    </i>
    <i t="default">
      <x/>
    </i>
    <i>
      <x v="1"/>
    </i>
    <i r="1">
      <x v="2"/>
    </i>
    <i t="default">
      <x v="1"/>
    </i>
    <i>
      <x v="2"/>
    </i>
    <i r="1">
      <x/>
    </i>
    <i r="1">
      <x v="1"/>
    </i>
    <i r="1">
      <x v="5"/>
    </i>
    <i r="1">
      <x v="8"/>
    </i>
    <i r="1">
      <x v="10"/>
    </i>
    <i t="default">
      <x v="2"/>
    </i>
    <i>
      <x v="3"/>
    </i>
    <i r="1">
      <x v="3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a de IMPONIBLE" fld="7" baseField="5" baseItem="0" numFmtId="3"/>
    <dataField name="Suma de Impuesto" fld="8" baseField="0" baseItem="0" numFmtId="3"/>
    <dataField name="Suma de ALiquido" fld="9" baseField="0" baseItem="0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6FA45C-69D8-4FE4-A3CF-3A17F7806572}" name="TablaDinámica4" cacheId="2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3">
  <location ref="K2:L6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axis="axisRow" showAll="0">
      <items count="4">
        <item x="1"/>
        <item x="2"/>
        <item x="0"/>
        <item t="default"/>
      </items>
    </pivotField>
    <pivotField numFmtId="3" showAll="0"/>
    <pivotField dataField="1" dragToRow="0" dragToCol="0" dragToPage="0" showAll="0" defaultSubtotal="0"/>
    <pivotField dragToRow="0" dragToCol="0" dragToPage="0" showAll="0" defaultSubtotal="0"/>
  </pivotFields>
  <rowFields count="1">
    <field x="6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a de Impuesto" fld="8" showDataAs="percentOfTotal" baseField="6" baseItem="0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1A5E91-F4A1-4DCB-88AD-B3440CE81A46}" name="TablaDinámica5" cacheId="3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5" firstHeaderRow="1" firstDataRow="1" firstDataCol="1"/>
  <pivotFields count="9">
    <pivotField subtotalTop="0" showAll="0"/>
    <pivotField axis="axisRow" subtotalTop="0" showAll="0">
      <items count="14">
        <item x="7"/>
        <item x="8"/>
        <item x="6"/>
        <item x="11"/>
        <item x="1"/>
        <item x="10"/>
        <item x="0"/>
        <item x="5"/>
        <item x="9"/>
        <item x="2"/>
        <item x="4"/>
        <item x="3"/>
        <item x="12"/>
        <item t="default"/>
      </items>
    </pivotField>
    <pivotField subtotalTop="0" showAll="0"/>
    <pivotField axis="axisRow" subtotalTop="0" showAll="0">
      <items count="5">
        <item x="1"/>
        <item x="0"/>
        <item x="3"/>
        <item x="2"/>
        <item t="default"/>
      </items>
    </pivotField>
    <pivotField subtotalTop="0" showAll="0"/>
    <pivotField subtotalTop="0" showAll="0"/>
    <pivotField subtotalTop="0" showAll="0"/>
    <pivotField dataField="1" numFmtId="3" subtotalTop="0" showAll="0"/>
    <pivotField numFmtId="3" subtotalTop="0" showAll="0"/>
  </pivotFields>
  <rowFields count="2">
    <field x="3"/>
    <field x="1"/>
  </rowFields>
  <rowItems count="22">
    <i>
      <x/>
    </i>
    <i r="1">
      <x v="2"/>
    </i>
    <i r="1">
      <x v="3"/>
    </i>
    <i r="1">
      <x v="5"/>
    </i>
    <i r="1">
      <x v="7"/>
    </i>
    <i r="1">
      <x v="9"/>
    </i>
    <i r="1">
      <x v="10"/>
    </i>
    <i r="1">
      <x v="11"/>
    </i>
    <i t="default">
      <x/>
    </i>
    <i>
      <x v="1"/>
    </i>
    <i r="1">
      <x v="4"/>
    </i>
    <i r="1">
      <x v="6"/>
    </i>
    <i r="1">
      <x v="8"/>
    </i>
    <i r="1">
      <x v="12"/>
    </i>
    <i t="default">
      <x v="1"/>
    </i>
    <i>
      <x v="2"/>
    </i>
    <i r="1">
      <x v="1"/>
    </i>
    <i t="default">
      <x v="2"/>
    </i>
    <i>
      <x v="3"/>
    </i>
    <i r="1">
      <x/>
    </i>
    <i t="default">
      <x v="3"/>
    </i>
    <i t="grand">
      <x/>
    </i>
  </rowItems>
  <colItems count="1">
    <i/>
  </colItems>
  <dataFields count="1">
    <dataField name="Suma de IMPONIBLE" fld="7" baseField="3" baseItem="0" numFmtId="3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A30B7D-6221-451E-BD55-2C42705877BE}" name="TablaDinámica7" cacheId="5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6" firstHeaderRow="1" firstDataRow="1" firstDataCol="1"/>
  <pivotFields count="3">
    <pivotField axis="axisRow" allDrilled="1" subtotalTop="0" showAll="0" dataSourceSort="1" defaultAttributeDrillState="1">
      <items count="5">
        <item x="0"/>
        <item x="1"/>
        <item x="2"/>
        <item x="3"/>
        <item t="default"/>
      </items>
    </pivotField>
    <pivotField dataField="1" subtotalTop="0" showAll="0" defaultSubtotal="0"/>
    <pivotField axis="axisRow" allDrilled="1" subtotalTop="0" showAll="0" dataSourceSort="1" defaultAttributeDrillState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2"/>
  </rowFields>
  <rowItems count="23">
    <i>
      <x/>
    </i>
    <i r="1">
      <x/>
    </i>
    <i r="1">
      <x v="1"/>
    </i>
    <i r="1">
      <x v="2"/>
    </i>
    <i r="1">
      <x v="3"/>
    </i>
    <i r="1">
      <x v="4"/>
    </i>
    <i r="1">
      <x v="5"/>
    </i>
    <i t="default">
      <x/>
    </i>
    <i>
      <x v="1"/>
    </i>
    <i r="1">
      <x v="6"/>
    </i>
    <i t="default">
      <x v="1"/>
    </i>
    <i>
      <x v="2"/>
    </i>
    <i r="1">
      <x v="7"/>
    </i>
    <i r="1">
      <x v="8"/>
    </i>
    <i r="1">
      <x v="9"/>
    </i>
    <i t="default">
      <x v="2"/>
    </i>
    <i>
      <x v="3"/>
    </i>
    <i r="1">
      <x v="10"/>
    </i>
    <i r="1">
      <x v="11"/>
    </i>
    <i r="1">
      <x v="12"/>
    </i>
    <i r="1">
      <x v="13"/>
    </i>
    <i t="default">
      <x v="3"/>
    </i>
    <i t="grand">
      <x/>
    </i>
  </rowItems>
  <colItems count="1">
    <i/>
  </colItems>
  <dataFields count="1">
    <dataField name="Suma de Total" fld="1" baseField="0" baseItem="0" numFmtId="3"/>
  </dataFields>
  <pivotHierarchies count="13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7"/>
    <rowHierarchyUsage hierarchyUsage="6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TMaestra]"/>
        <x15:activeTabTopLevelEntity name="[TDetalle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D84FEA6-48CA-43C9-84B9-E97F33D7F43C}" name="BaseDat" displayName="BaseDat" ref="B2:J15" headerRowDxfId="17" headerRowBorderDxfId="22" tableBorderDxfId="23">
  <autoFilter ref="B2:J15" xr:uid="{2D84FEA6-48CA-43C9-84B9-E97F33D7F43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E6E9B870-1CFC-4BB3-A216-9F74C3F68B1F}" name="RUT" totalsRowLabel="Total" dataDxfId="21" totalsRowDxfId="13"/>
    <tableColumn id="2" xr3:uid="{71A9F784-C01D-4CD1-B29C-62D0684EC817}" name="NOMBRE"/>
    <tableColumn id="3" xr3:uid="{0ECB99B3-390F-4D1F-AB25-23249747B4E6}" name="SEXO" dataDxfId="20" totalsRowDxfId="14"/>
    <tableColumn id="4" xr3:uid="{F930E68D-5386-4C65-BCAA-FF595CE2BB85}" name="AFP"/>
    <tableColumn id="5" xr3:uid="{AEBE0140-C6B7-4E85-AFD5-8F50A2EAB3FC}" name="SALUD"/>
    <tableColumn id="6" xr3:uid="{2E49073D-B202-4622-A4DD-F11631D4A3A6}" name="CARGO"/>
    <tableColumn id="7" xr3:uid="{BB0EF7BE-E84D-4B83-95F5-AC7736DDA2FD}" name="CENTRO COSTO" dataDxfId="19" totalsRowDxfId="15"/>
    <tableColumn id="8" xr3:uid="{84132084-404B-4BBB-999E-F76139206941}" name="IMPONIBLE" totalsRowFunction="sum" dataDxfId="18" totalsRowDxfId="16"/>
    <tableColumn id="9" xr3:uid="{E9972B80-1D97-47B4-875C-6F3DA7805F7E}" name="IMPUEST" dataDxfId="12">
      <calculatedColumnFormula>BaseDat[[#This Row],[IMPONIBLE]]*13%</calculatedColumnFormula>
    </tableColumn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DB865B-727A-4F97-84A4-ACA36A9ADB9D}" name="TMaestra" displayName="TMaestra" ref="B3:E17" totalsRowShown="0" headerRowDxfId="8" headerRowBorderDxfId="10" tableBorderDxfId="11" headerRowCellStyle="Heading">
  <autoFilter ref="B3:E17" xr:uid="{F0DB865B-727A-4F97-84A4-ACA36A9ADB9D}">
    <filterColumn colId="0" hiddenButton="1"/>
    <filterColumn colId="1" hiddenButton="1"/>
    <filterColumn colId="2" hiddenButton="1"/>
    <filterColumn colId="3" hiddenButton="1"/>
  </autoFilter>
  <tableColumns count="4">
    <tableColumn id="1" xr3:uid="{8016F364-34A6-43D5-B827-207FE84C6F58}" name="ID"/>
    <tableColumn id="2" xr3:uid="{87CD7B56-F373-4972-838E-8DFE82C76C09}" name="Nombre"/>
    <tableColumn id="3" xr3:uid="{46A6AD31-3DFA-4DF2-9696-2C38A6EC6BF8}" name="Zona"/>
    <tableColumn id="4" xr3:uid="{5B503727-F672-4B5F-9939-BBF0C030E083}" name="SBase" dataDxfId="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22CE0BA-DD83-44EB-8B53-1D0C572C1A2B}" name="TDetalle" displayName="TDetalle" ref="G3:K17" totalsRowShown="0" headerRowDxfId="0" headerRowBorderDxfId="6" tableBorderDxfId="7" headerRowCellStyle="Moneda_Relacion de personal (base)">
  <autoFilter ref="G3:K17" xr:uid="{322CE0BA-DD83-44EB-8B53-1D0C572C1A2B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2753B81B-22D3-44EF-B12D-E23430741F31}" name="ID" dataDxfId="5"/>
    <tableColumn id="2" xr3:uid="{0A6B703F-4AEA-450F-934D-AB80CA59EEF7}" name="Enero" dataDxfId="4"/>
    <tableColumn id="3" xr3:uid="{7B6A5A0B-6EC9-4CB9-BB74-BCDBA0D57B6D}" name="Febrero" dataDxfId="3"/>
    <tableColumn id="4" xr3:uid="{094D1E8D-DBDD-491D-AC14-0DBDEBFBCB1F}" name="Marzo" dataDxfId="2"/>
    <tableColumn id="5" xr3:uid="{F0C0A8C8-DF0F-4B71-8C0D-D79EE2F6CC58}" name="Total" dataDxfId="1">
      <calculatedColumnFormula>SUM(H4:J4)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mailto:jbeltrand@gmail.com" TargetMode="Externa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CF1AB-9D45-438E-8D12-053E6AA585E3}">
  <dimension ref="B2:H14"/>
  <sheetViews>
    <sheetView workbookViewId="0">
      <selection activeCell="B2" sqref="B2:H14"/>
    </sheetView>
  </sheetViews>
  <sheetFormatPr baseColWidth="10" defaultRowHeight="14.5"/>
  <cols>
    <col min="2" max="2" width="13.54296875" customWidth="1"/>
    <col min="3" max="3" width="25.7265625" bestFit="1" customWidth="1"/>
    <col min="4" max="4" width="19.7265625" customWidth="1"/>
    <col min="5" max="5" width="15.7265625" customWidth="1"/>
    <col min="6" max="6" width="13" customWidth="1"/>
    <col min="7" max="7" width="13.1796875" customWidth="1"/>
  </cols>
  <sheetData>
    <row r="2" spans="2:8">
      <c r="B2" s="11" t="s">
        <v>2</v>
      </c>
      <c r="C2" s="12" t="s">
        <v>3</v>
      </c>
      <c r="D2" s="13" t="s">
        <v>35</v>
      </c>
      <c r="E2" s="13" t="s">
        <v>36</v>
      </c>
      <c r="F2" s="13" t="s">
        <v>34</v>
      </c>
      <c r="G2" s="13" t="s">
        <v>37</v>
      </c>
      <c r="H2" s="14" t="s">
        <v>5</v>
      </c>
    </row>
    <row r="3" spans="2:8">
      <c r="B3" s="4" t="s">
        <v>9</v>
      </c>
      <c r="C3" t="s">
        <v>10</v>
      </c>
      <c r="D3" t="s">
        <v>40</v>
      </c>
      <c r="E3" t="s">
        <v>41</v>
      </c>
      <c r="F3" s="5">
        <v>582400</v>
      </c>
      <c r="G3" s="5">
        <f>F3*21%</f>
        <v>122304</v>
      </c>
      <c r="H3" s="5">
        <f>F3-G3</f>
        <v>460096</v>
      </c>
    </row>
    <row r="4" spans="2:8">
      <c r="B4" s="4" t="s">
        <v>42</v>
      </c>
      <c r="C4" t="s">
        <v>43</v>
      </c>
      <c r="D4" t="s">
        <v>44</v>
      </c>
      <c r="E4" t="s">
        <v>45</v>
      </c>
      <c r="F4" s="5">
        <v>458000</v>
      </c>
      <c r="G4" s="5">
        <f>F4*21%</f>
        <v>96180</v>
      </c>
      <c r="H4" s="5">
        <f>F4-G4</f>
        <v>361820</v>
      </c>
    </row>
    <row r="5" spans="2:8">
      <c r="B5" s="4" t="s">
        <v>24</v>
      </c>
      <c r="C5" t="s">
        <v>25</v>
      </c>
      <c r="D5" t="s">
        <v>44</v>
      </c>
      <c r="E5" t="s">
        <v>45</v>
      </c>
      <c r="F5" s="5">
        <v>457000</v>
      </c>
      <c r="G5" s="5">
        <f>F5*21%</f>
        <v>95970</v>
      </c>
      <c r="H5" s="5">
        <f>F5-G5</f>
        <v>361030</v>
      </c>
    </row>
    <row r="6" spans="2:8">
      <c r="B6" s="4" t="s">
        <v>30</v>
      </c>
      <c r="C6" t="s">
        <v>31</v>
      </c>
      <c r="D6" t="s">
        <v>44</v>
      </c>
      <c r="E6" t="s">
        <v>45</v>
      </c>
      <c r="F6" s="5">
        <v>510000</v>
      </c>
      <c r="G6" s="5">
        <f>F6*21%</f>
        <v>107100</v>
      </c>
      <c r="H6" s="5">
        <f>F6-G6</f>
        <v>402900</v>
      </c>
    </row>
    <row r="7" spans="2:8">
      <c r="B7" s="4" t="s">
        <v>28</v>
      </c>
      <c r="C7" t="s">
        <v>29</v>
      </c>
      <c r="D7" t="s">
        <v>44</v>
      </c>
      <c r="E7" t="s">
        <v>39</v>
      </c>
      <c r="F7" s="5">
        <v>641000</v>
      </c>
      <c r="G7" s="5">
        <f>F7*21%</f>
        <v>134610</v>
      </c>
      <c r="H7" s="5">
        <f>F7-G7</f>
        <v>506390</v>
      </c>
    </row>
    <row r="8" spans="2:8">
      <c r="B8" s="4" t="s">
        <v>50</v>
      </c>
      <c r="C8" t="s">
        <v>51</v>
      </c>
      <c r="D8" t="s">
        <v>44</v>
      </c>
      <c r="E8" t="s">
        <v>39</v>
      </c>
      <c r="F8" s="5">
        <v>574000</v>
      </c>
      <c r="G8" s="5">
        <f>F8*21%</f>
        <v>120540</v>
      </c>
      <c r="H8" s="5">
        <f>F8-G8</f>
        <v>453460</v>
      </c>
    </row>
    <row r="9" spans="2:8">
      <c r="B9" s="4" t="s">
        <v>32</v>
      </c>
      <c r="C9" t="s">
        <v>33</v>
      </c>
      <c r="D9" t="s">
        <v>47</v>
      </c>
      <c r="E9" t="s">
        <v>39</v>
      </c>
      <c r="F9" s="5">
        <v>900000</v>
      </c>
      <c r="G9" s="5">
        <f>F9*21%</f>
        <v>189000</v>
      </c>
      <c r="H9" s="5">
        <f>F9-G9</f>
        <v>711000</v>
      </c>
    </row>
    <row r="10" spans="2:8">
      <c r="B10" s="4" t="s">
        <v>12</v>
      </c>
      <c r="C10" t="s">
        <v>13</v>
      </c>
      <c r="D10" t="s">
        <v>40</v>
      </c>
      <c r="E10" t="s">
        <v>39</v>
      </c>
      <c r="F10" s="5">
        <v>566000</v>
      </c>
      <c r="G10" s="5">
        <f>F10*21%</f>
        <v>118860</v>
      </c>
      <c r="H10" s="5">
        <f>F10-G10</f>
        <v>447140</v>
      </c>
    </row>
    <row r="11" spans="2:8">
      <c r="B11" s="4" t="s">
        <v>26</v>
      </c>
      <c r="C11" t="s">
        <v>27</v>
      </c>
      <c r="D11" t="s">
        <v>40</v>
      </c>
      <c r="E11" t="s">
        <v>39</v>
      </c>
      <c r="F11" s="5">
        <v>528000</v>
      </c>
      <c r="G11" s="5">
        <f>F11*21%</f>
        <v>110880</v>
      </c>
      <c r="H11" s="5">
        <f>F11-G11</f>
        <v>417120</v>
      </c>
    </row>
    <row r="12" spans="2:8">
      <c r="B12" s="4" t="s">
        <v>6</v>
      </c>
      <c r="C12" t="s">
        <v>7</v>
      </c>
      <c r="D12" t="s">
        <v>38</v>
      </c>
      <c r="E12" t="s">
        <v>39</v>
      </c>
      <c r="F12" s="5">
        <v>457000</v>
      </c>
      <c r="G12" s="5">
        <f>F12*21%</f>
        <v>95970</v>
      </c>
      <c r="H12" s="5">
        <f>F12-G12</f>
        <v>361030</v>
      </c>
    </row>
    <row r="13" spans="2:8">
      <c r="B13" s="4" t="s">
        <v>14</v>
      </c>
      <c r="C13" t="s">
        <v>15</v>
      </c>
      <c r="D13" t="s">
        <v>38</v>
      </c>
      <c r="E13" t="s">
        <v>39</v>
      </c>
      <c r="F13" s="5">
        <v>550000</v>
      </c>
      <c r="G13" s="5">
        <f>F13*21%</f>
        <v>115500</v>
      </c>
      <c r="H13" s="5">
        <f>F13-G13</f>
        <v>434500</v>
      </c>
    </row>
    <row r="14" spans="2:8">
      <c r="B14" s="4" t="s">
        <v>48</v>
      </c>
      <c r="C14" t="s">
        <v>49</v>
      </c>
      <c r="D14" t="s">
        <v>38</v>
      </c>
      <c r="E14" t="s">
        <v>39</v>
      </c>
      <c r="F14" s="5">
        <v>557000</v>
      </c>
      <c r="G14" s="5">
        <f>F14*21%</f>
        <v>116970</v>
      </c>
      <c r="H14" s="5">
        <f>F14-G14</f>
        <v>440030</v>
      </c>
    </row>
  </sheetData>
  <sortState xmlns:xlrd2="http://schemas.microsoft.com/office/spreadsheetml/2017/richdata2" ref="B3:H14">
    <sortCondition ref="E2:E14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7B8D8-E044-4B8F-8B0D-C830F7E20C50}">
  <dimension ref="A3:D24"/>
  <sheetViews>
    <sheetView workbookViewId="0">
      <selection activeCell="A3" sqref="A3"/>
    </sheetView>
  </sheetViews>
  <sheetFormatPr baseColWidth="10" defaultRowHeight="14.5"/>
  <cols>
    <col min="1" max="1" width="26" bestFit="1" customWidth="1"/>
    <col min="2" max="2" width="15.6328125" bestFit="1" customWidth="1"/>
    <col min="3" max="3" width="19.36328125" bestFit="1" customWidth="1"/>
    <col min="4" max="4" width="18" bestFit="1" customWidth="1"/>
  </cols>
  <sheetData>
    <row r="3" spans="1:4">
      <c r="A3" s="66" t="s">
        <v>216</v>
      </c>
      <c r="B3" t="s">
        <v>224</v>
      </c>
      <c r="C3" t="s">
        <v>225</v>
      </c>
      <c r="D3" t="s">
        <v>218</v>
      </c>
    </row>
    <row r="4" spans="1:4">
      <c r="A4" s="32" t="s">
        <v>44</v>
      </c>
      <c r="B4" s="5"/>
      <c r="C4" s="67"/>
      <c r="D4" s="69"/>
    </row>
    <row r="5" spans="1:4">
      <c r="A5" s="68" t="s">
        <v>17</v>
      </c>
      <c r="B5" s="5">
        <v>710000</v>
      </c>
      <c r="C5" s="67">
        <v>1</v>
      </c>
      <c r="D5" s="69">
        <v>0.10081790298761786</v>
      </c>
    </row>
    <row r="6" spans="1:4">
      <c r="A6" s="68" t="s">
        <v>21</v>
      </c>
      <c r="B6" s="5">
        <v>800000</v>
      </c>
      <c r="C6" s="67">
        <v>1</v>
      </c>
      <c r="D6" s="69">
        <v>0.11359763716914688</v>
      </c>
    </row>
    <row r="7" spans="1:4">
      <c r="A7" s="68" t="s">
        <v>23</v>
      </c>
      <c r="B7" s="5">
        <v>528000</v>
      </c>
      <c r="C7" s="67">
        <v>1</v>
      </c>
      <c r="D7" s="69">
        <v>7.4974440531636946E-2</v>
      </c>
    </row>
    <row r="8" spans="1:4">
      <c r="A8" s="68" t="s">
        <v>43</v>
      </c>
      <c r="B8" s="5">
        <v>557000</v>
      </c>
      <c r="C8" s="67">
        <v>1</v>
      </c>
      <c r="D8" s="69">
        <v>7.9092354879018514E-2</v>
      </c>
    </row>
    <row r="9" spans="1:4">
      <c r="A9" s="68" t="s">
        <v>25</v>
      </c>
      <c r="B9" s="5">
        <v>657000</v>
      </c>
      <c r="C9" s="67">
        <v>1</v>
      </c>
      <c r="D9" s="69">
        <v>9.3292059525161883E-2</v>
      </c>
    </row>
    <row r="10" spans="1:4">
      <c r="A10" s="32" t="s">
        <v>220</v>
      </c>
      <c r="B10" s="5">
        <v>3252000</v>
      </c>
      <c r="C10" s="67">
        <v>5</v>
      </c>
      <c r="D10" s="69">
        <v>0.46177439509258206</v>
      </c>
    </row>
    <row r="11" spans="1:4">
      <c r="A11" s="32" t="s">
        <v>47</v>
      </c>
      <c r="B11" s="5"/>
      <c r="C11" s="67"/>
      <c r="D11" s="69"/>
    </row>
    <row r="12" spans="1:4">
      <c r="A12" s="68" t="s">
        <v>117</v>
      </c>
      <c r="B12" s="5">
        <v>800000</v>
      </c>
      <c r="C12" s="67">
        <v>1</v>
      </c>
      <c r="D12" s="69">
        <v>0.11359763716914688</v>
      </c>
    </row>
    <row r="13" spans="1:4">
      <c r="A13" s="32" t="s">
        <v>221</v>
      </c>
      <c r="B13" s="5">
        <v>800000</v>
      </c>
      <c r="C13" s="67">
        <v>1</v>
      </c>
      <c r="D13" s="69">
        <v>0.11359763716914688</v>
      </c>
    </row>
    <row r="14" spans="1:4">
      <c r="A14" s="32" t="s">
        <v>40</v>
      </c>
      <c r="B14" s="5"/>
      <c r="C14" s="67"/>
      <c r="D14" s="69"/>
    </row>
    <row r="15" spans="1:4">
      <c r="A15" s="68" t="s">
        <v>46</v>
      </c>
      <c r="B15" s="5">
        <v>408000</v>
      </c>
      <c r="C15" s="67">
        <v>1</v>
      </c>
      <c r="D15" s="69">
        <v>5.7934794956264912E-2</v>
      </c>
    </row>
    <row r="16" spans="1:4">
      <c r="A16" s="68" t="s">
        <v>99</v>
      </c>
      <c r="B16" s="5">
        <v>470000</v>
      </c>
      <c r="C16" s="67">
        <v>1</v>
      </c>
      <c r="D16" s="69">
        <v>6.6738611836873796E-2</v>
      </c>
    </row>
    <row r="17" spans="1:4">
      <c r="A17" s="68" t="s">
        <v>19</v>
      </c>
      <c r="B17" s="5">
        <v>600000</v>
      </c>
      <c r="C17" s="67">
        <v>1</v>
      </c>
      <c r="D17" s="69">
        <v>8.5198227876860155E-2</v>
      </c>
    </row>
    <row r="18" spans="1:4">
      <c r="A18" s="68" t="s">
        <v>10</v>
      </c>
      <c r="B18" s="5">
        <v>582400</v>
      </c>
      <c r="C18" s="67">
        <v>1</v>
      </c>
      <c r="D18" s="69">
        <v>8.2699079859138935E-2</v>
      </c>
    </row>
    <row r="19" spans="1:4">
      <c r="A19" s="68" t="s">
        <v>13</v>
      </c>
      <c r="B19" s="5">
        <v>466000</v>
      </c>
      <c r="C19" s="67">
        <v>1</v>
      </c>
      <c r="D19" s="69">
        <v>6.6170623651028063E-2</v>
      </c>
    </row>
    <row r="20" spans="1:4">
      <c r="A20" s="32" t="s">
        <v>222</v>
      </c>
      <c r="B20" s="5">
        <v>2526400</v>
      </c>
      <c r="C20" s="67">
        <v>5</v>
      </c>
      <c r="D20" s="69">
        <v>0.35874133818016585</v>
      </c>
    </row>
    <row r="21" spans="1:4">
      <c r="A21" s="32" t="s">
        <v>38</v>
      </c>
      <c r="B21" s="5"/>
      <c r="C21" s="67"/>
      <c r="D21" s="69"/>
    </row>
    <row r="22" spans="1:4">
      <c r="A22" s="68" t="s">
        <v>15</v>
      </c>
      <c r="B22" s="5">
        <v>464000</v>
      </c>
      <c r="C22" s="67">
        <v>1</v>
      </c>
      <c r="D22" s="69">
        <v>6.5886629558105189E-2</v>
      </c>
    </row>
    <row r="23" spans="1:4">
      <c r="A23" s="32" t="s">
        <v>223</v>
      </c>
      <c r="B23" s="5">
        <v>464000</v>
      </c>
      <c r="C23" s="67">
        <v>1</v>
      </c>
      <c r="D23" s="69">
        <v>6.5886629558105189E-2</v>
      </c>
    </row>
    <row r="24" spans="1:4">
      <c r="A24" s="32" t="s">
        <v>217</v>
      </c>
      <c r="B24" s="5">
        <v>7042400</v>
      </c>
      <c r="C24" s="67">
        <v>12</v>
      </c>
      <c r="D24" s="69">
        <v>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81469-8624-484B-A803-2ADCF2505008}">
  <dimension ref="A3:D24"/>
  <sheetViews>
    <sheetView workbookViewId="0">
      <selection activeCell="A3" sqref="A3"/>
    </sheetView>
  </sheetViews>
  <sheetFormatPr baseColWidth="10" defaultRowHeight="14.5"/>
  <cols>
    <col min="1" max="1" width="26" bestFit="1" customWidth="1"/>
    <col min="2" max="2" width="18" bestFit="1" customWidth="1"/>
    <col min="3" max="3" width="16.54296875" bestFit="1" customWidth="1"/>
    <col min="4" max="4" width="15.7265625" bestFit="1" customWidth="1"/>
  </cols>
  <sheetData>
    <row r="3" spans="1:4">
      <c r="A3" s="66" t="s">
        <v>216</v>
      </c>
      <c r="B3" t="s">
        <v>218</v>
      </c>
      <c r="C3" t="s">
        <v>226</v>
      </c>
      <c r="D3" t="s">
        <v>227</v>
      </c>
    </row>
    <row r="4" spans="1:4">
      <c r="A4" s="32" t="s">
        <v>44</v>
      </c>
      <c r="B4" s="5"/>
      <c r="C4" s="5"/>
      <c r="D4" s="5"/>
    </row>
    <row r="5" spans="1:4">
      <c r="A5" s="68" t="s">
        <v>17</v>
      </c>
      <c r="B5" s="5">
        <v>710000</v>
      </c>
      <c r="C5" s="5">
        <v>97625.000000000015</v>
      </c>
      <c r="D5" s="5">
        <v>612375</v>
      </c>
    </row>
    <row r="6" spans="1:4">
      <c r="A6" s="68" t="s">
        <v>21</v>
      </c>
      <c r="B6" s="5">
        <v>800000</v>
      </c>
      <c r="C6" s="5">
        <v>110000.00000000001</v>
      </c>
      <c r="D6" s="5">
        <v>690000</v>
      </c>
    </row>
    <row r="7" spans="1:4">
      <c r="A7" s="68" t="s">
        <v>23</v>
      </c>
      <c r="B7" s="5">
        <v>528000</v>
      </c>
      <c r="C7" s="5">
        <v>72600</v>
      </c>
      <c r="D7" s="5">
        <v>455400</v>
      </c>
    </row>
    <row r="8" spans="1:4">
      <c r="A8" s="68" t="s">
        <v>43</v>
      </c>
      <c r="B8" s="5">
        <v>557000</v>
      </c>
      <c r="C8" s="5">
        <v>76587.5</v>
      </c>
      <c r="D8" s="5">
        <v>480412.5</v>
      </c>
    </row>
    <row r="9" spans="1:4">
      <c r="A9" s="68" t="s">
        <v>25</v>
      </c>
      <c r="B9" s="5">
        <v>657000</v>
      </c>
      <c r="C9" s="5">
        <v>90337.500000000015</v>
      </c>
      <c r="D9" s="5">
        <v>566662.5</v>
      </c>
    </row>
    <row r="10" spans="1:4">
      <c r="A10" s="32" t="s">
        <v>220</v>
      </c>
      <c r="B10" s="5">
        <v>3252000</v>
      </c>
      <c r="C10" s="5">
        <v>447150.00000000006</v>
      </c>
      <c r="D10" s="5">
        <v>2804850</v>
      </c>
    </row>
    <row r="11" spans="1:4">
      <c r="A11" s="32" t="s">
        <v>47</v>
      </c>
      <c r="B11" s="5"/>
      <c r="C11" s="5"/>
      <c r="D11" s="5"/>
    </row>
    <row r="12" spans="1:4">
      <c r="A12" s="68" t="s">
        <v>117</v>
      </c>
      <c r="B12" s="5">
        <v>800000</v>
      </c>
      <c r="C12" s="5">
        <v>110000.00000000001</v>
      </c>
      <c r="D12" s="5">
        <v>690000</v>
      </c>
    </row>
    <row r="13" spans="1:4">
      <c r="A13" s="32" t="s">
        <v>221</v>
      </c>
      <c r="B13" s="5">
        <v>800000</v>
      </c>
      <c r="C13" s="5">
        <v>110000.00000000001</v>
      </c>
      <c r="D13" s="5">
        <v>690000</v>
      </c>
    </row>
    <row r="14" spans="1:4">
      <c r="A14" s="32" t="s">
        <v>40</v>
      </c>
      <c r="B14" s="5"/>
      <c r="C14" s="5"/>
      <c r="D14" s="5"/>
    </row>
    <row r="15" spans="1:4">
      <c r="A15" s="68" t="s">
        <v>46</v>
      </c>
      <c r="B15" s="5">
        <v>408000</v>
      </c>
      <c r="C15" s="5">
        <v>56100.000000000007</v>
      </c>
      <c r="D15" s="5">
        <v>351900</v>
      </c>
    </row>
    <row r="16" spans="1:4">
      <c r="A16" s="68" t="s">
        <v>99</v>
      </c>
      <c r="B16" s="5">
        <v>470000</v>
      </c>
      <c r="C16" s="5">
        <v>64625.000000000007</v>
      </c>
      <c r="D16" s="5">
        <v>405375</v>
      </c>
    </row>
    <row r="17" spans="1:4">
      <c r="A17" s="68" t="s">
        <v>19</v>
      </c>
      <c r="B17" s="5">
        <v>600000</v>
      </c>
      <c r="C17" s="5">
        <v>82500</v>
      </c>
      <c r="D17" s="5">
        <v>517500</v>
      </c>
    </row>
    <row r="18" spans="1:4">
      <c r="A18" s="68" t="s">
        <v>10</v>
      </c>
      <c r="B18" s="5">
        <v>582400</v>
      </c>
      <c r="C18" s="5">
        <v>80080</v>
      </c>
      <c r="D18" s="5">
        <v>502320</v>
      </c>
    </row>
    <row r="19" spans="1:4">
      <c r="A19" s="68" t="s">
        <v>13</v>
      </c>
      <c r="B19" s="5">
        <v>466000</v>
      </c>
      <c r="C19" s="5">
        <v>64075.000000000007</v>
      </c>
      <c r="D19" s="5">
        <v>401925</v>
      </c>
    </row>
    <row r="20" spans="1:4">
      <c r="A20" s="32" t="s">
        <v>222</v>
      </c>
      <c r="B20" s="5">
        <v>2526400</v>
      </c>
      <c r="C20" s="5">
        <v>347380</v>
      </c>
      <c r="D20" s="5">
        <v>2179020</v>
      </c>
    </row>
    <row r="21" spans="1:4">
      <c r="A21" s="32" t="s">
        <v>38</v>
      </c>
      <c r="B21" s="5"/>
      <c r="C21" s="5"/>
      <c r="D21" s="5"/>
    </row>
    <row r="22" spans="1:4">
      <c r="A22" s="68" t="s">
        <v>15</v>
      </c>
      <c r="B22" s="5">
        <v>464000</v>
      </c>
      <c r="C22" s="5">
        <v>63800.000000000007</v>
      </c>
      <c r="D22" s="5">
        <v>400200</v>
      </c>
    </row>
    <row r="23" spans="1:4">
      <c r="A23" s="32" t="s">
        <v>223</v>
      </c>
      <c r="B23" s="5">
        <v>464000</v>
      </c>
      <c r="C23" s="5">
        <v>63800.000000000007</v>
      </c>
      <c r="D23" s="5">
        <v>400200</v>
      </c>
    </row>
    <row r="24" spans="1:4">
      <c r="A24" s="32" t="s">
        <v>217</v>
      </c>
      <c r="B24" s="5">
        <v>7042400</v>
      </c>
      <c r="C24" s="5">
        <v>968330.00000000012</v>
      </c>
      <c r="D24" s="5">
        <v>6074070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CF6E5-2897-4042-98FC-6958C9732C6D}">
  <dimension ref="B2:L14"/>
  <sheetViews>
    <sheetView workbookViewId="0">
      <selection activeCell="K2" sqref="K2"/>
    </sheetView>
  </sheetViews>
  <sheetFormatPr baseColWidth="10" defaultRowHeight="14.5"/>
  <cols>
    <col min="1" max="1" width="3.1796875" customWidth="1"/>
    <col min="2" max="2" width="12.81640625" customWidth="1"/>
    <col min="3" max="3" width="22.1796875" bestFit="1" customWidth="1"/>
    <col min="4" max="4" width="9.81640625" customWidth="1"/>
    <col min="5" max="5" width="11.54296875" customWidth="1"/>
    <col min="6" max="6" width="11.81640625" customWidth="1"/>
    <col min="7" max="7" width="17.08984375" customWidth="1"/>
    <col min="8" max="8" width="15.90625" customWidth="1"/>
    <col min="11" max="12" width="16.54296875" bestFit="1" customWidth="1"/>
  </cols>
  <sheetData>
    <row r="2" spans="2:12">
      <c r="B2" s="8" t="s">
        <v>2</v>
      </c>
      <c r="C2" s="8" t="s">
        <v>3</v>
      </c>
      <c r="D2" s="8" t="s">
        <v>4</v>
      </c>
      <c r="E2" s="8" t="s">
        <v>106</v>
      </c>
      <c r="F2" s="8" t="s">
        <v>107</v>
      </c>
      <c r="G2" s="8" t="s">
        <v>35</v>
      </c>
      <c r="H2" s="8" t="s">
        <v>36</v>
      </c>
      <c r="I2" s="8" t="s">
        <v>108</v>
      </c>
      <c r="K2" s="66" t="s">
        <v>216</v>
      </c>
      <c r="L2" t="s">
        <v>226</v>
      </c>
    </row>
    <row r="3" spans="2:12">
      <c r="B3" s="4" t="s">
        <v>20</v>
      </c>
      <c r="C3" t="s">
        <v>21</v>
      </c>
      <c r="D3" s="4" t="s">
        <v>8</v>
      </c>
      <c r="E3" t="s">
        <v>109</v>
      </c>
      <c r="F3" t="s">
        <v>110</v>
      </c>
      <c r="G3" t="s">
        <v>44</v>
      </c>
      <c r="H3" s="32" t="s">
        <v>39</v>
      </c>
      <c r="I3" s="5">
        <v>800000</v>
      </c>
      <c r="K3" s="32" t="s">
        <v>45</v>
      </c>
      <c r="L3" s="69">
        <v>0.31551743723730541</v>
      </c>
    </row>
    <row r="4" spans="2:12">
      <c r="B4" s="4" t="s">
        <v>16</v>
      </c>
      <c r="C4" t="s">
        <v>17</v>
      </c>
      <c r="D4" s="4" t="s">
        <v>8</v>
      </c>
      <c r="E4" t="s">
        <v>109</v>
      </c>
      <c r="F4" t="s">
        <v>111</v>
      </c>
      <c r="G4" t="s">
        <v>44</v>
      </c>
      <c r="H4" s="32" t="s">
        <v>39</v>
      </c>
      <c r="I4" s="5">
        <v>710000</v>
      </c>
      <c r="K4" s="32" t="s">
        <v>41</v>
      </c>
      <c r="L4" s="69">
        <v>0.1494376916960127</v>
      </c>
    </row>
    <row r="5" spans="2:12">
      <c r="B5" s="4" t="s">
        <v>42</v>
      </c>
      <c r="C5" t="s">
        <v>43</v>
      </c>
      <c r="D5" s="4" t="s">
        <v>8</v>
      </c>
      <c r="E5" t="s">
        <v>112</v>
      </c>
      <c r="F5" t="s">
        <v>113</v>
      </c>
      <c r="G5" t="s">
        <v>44</v>
      </c>
      <c r="H5" s="32" t="s">
        <v>45</v>
      </c>
      <c r="I5" s="5">
        <v>557000</v>
      </c>
      <c r="K5" s="32" t="s">
        <v>39</v>
      </c>
      <c r="L5" s="69">
        <v>0.53504487106668186</v>
      </c>
    </row>
    <row r="6" spans="2:12">
      <c r="B6" s="4" t="s">
        <v>24</v>
      </c>
      <c r="C6" t="s">
        <v>25</v>
      </c>
      <c r="D6" s="4" t="s">
        <v>8</v>
      </c>
      <c r="E6" t="s">
        <v>112</v>
      </c>
      <c r="F6" t="s">
        <v>113</v>
      </c>
      <c r="G6" t="s">
        <v>44</v>
      </c>
      <c r="H6" s="32" t="s">
        <v>45</v>
      </c>
      <c r="I6" s="5">
        <v>657000</v>
      </c>
      <c r="K6" s="32" t="s">
        <v>217</v>
      </c>
      <c r="L6" s="69">
        <v>1</v>
      </c>
    </row>
    <row r="7" spans="2:12">
      <c r="B7" s="4" t="s">
        <v>12</v>
      </c>
      <c r="C7" t="s">
        <v>13</v>
      </c>
      <c r="D7" s="4" t="s">
        <v>8</v>
      </c>
      <c r="E7" t="s">
        <v>112</v>
      </c>
      <c r="F7" t="s">
        <v>114</v>
      </c>
      <c r="G7" t="s">
        <v>40</v>
      </c>
      <c r="H7" s="32" t="s">
        <v>39</v>
      </c>
      <c r="I7" s="5">
        <v>466000</v>
      </c>
    </row>
    <row r="8" spans="2:12">
      <c r="B8" s="4" t="s">
        <v>22</v>
      </c>
      <c r="C8" t="s">
        <v>23</v>
      </c>
      <c r="D8" s="4" t="s">
        <v>11</v>
      </c>
      <c r="E8" t="s">
        <v>112</v>
      </c>
      <c r="F8" t="s">
        <v>115</v>
      </c>
      <c r="G8" t="s">
        <v>44</v>
      </c>
      <c r="H8" s="32" t="s">
        <v>39</v>
      </c>
      <c r="I8" s="5">
        <v>528000</v>
      </c>
    </row>
    <row r="9" spans="2:12">
      <c r="B9" s="4" t="s">
        <v>116</v>
      </c>
      <c r="C9" t="s">
        <v>117</v>
      </c>
      <c r="D9" s="4" t="s">
        <v>11</v>
      </c>
      <c r="E9" t="s">
        <v>112</v>
      </c>
      <c r="F9" t="s">
        <v>118</v>
      </c>
      <c r="G9" t="s">
        <v>47</v>
      </c>
      <c r="H9" s="32" t="s">
        <v>39</v>
      </c>
      <c r="I9" s="5">
        <v>800000</v>
      </c>
    </row>
    <row r="10" spans="2:12">
      <c r="B10" s="4" t="s">
        <v>119</v>
      </c>
      <c r="C10" t="s">
        <v>46</v>
      </c>
      <c r="D10" s="4" t="s">
        <v>11</v>
      </c>
      <c r="E10" t="s">
        <v>120</v>
      </c>
      <c r="F10" t="s">
        <v>113</v>
      </c>
      <c r="G10" t="s">
        <v>40</v>
      </c>
      <c r="H10" s="32" t="s">
        <v>45</v>
      </c>
      <c r="I10" s="5">
        <v>408000</v>
      </c>
    </row>
    <row r="11" spans="2:12">
      <c r="B11" s="4" t="s">
        <v>121</v>
      </c>
      <c r="C11" t="s">
        <v>99</v>
      </c>
      <c r="D11" s="4" t="s">
        <v>11</v>
      </c>
      <c r="E11" t="s">
        <v>122</v>
      </c>
      <c r="F11" t="s">
        <v>123</v>
      </c>
      <c r="G11" s="33" t="s">
        <v>40</v>
      </c>
      <c r="H11" s="32" t="s">
        <v>41</v>
      </c>
      <c r="I11" s="5">
        <v>470000</v>
      </c>
    </row>
    <row r="12" spans="2:12">
      <c r="B12" s="4" t="s">
        <v>9</v>
      </c>
      <c r="C12" t="s">
        <v>10</v>
      </c>
      <c r="D12" s="4" t="s">
        <v>11</v>
      </c>
      <c r="E12" t="s">
        <v>109</v>
      </c>
      <c r="F12" t="s">
        <v>115</v>
      </c>
      <c r="G12" t="s">
        <v>40</v>
      </c>
      <c r="H12" s="32" t="s">
        <v>41</v>
      </c>
      <c r="I12" s="5">
        <v>582400</v>
      </c>
    </row>
    <row r="13" spans="2:12">
      <c r="B13" s="4" t="s">
        <v>18</v>
      </c>
      <c r="C13" t="s">
        <v>19</v>
      </c>
      <c r="D13" s="4" t="s">
        <v>11</v>
      </c>
      <c r="E13" t="s">
        <v>112</v>
      </c>
      <c r="F13" t="s">
        <v>123</v>
      </c>
      <c r="G13" t="s">
        <v>40</v>
      </c>
      <c r="H13" s="32" t="s">
        <v>45</v>
      </c>
      <c r="I13" s="5">
        <v>600000</v>
      </c>
    </row>
    <row r="14" spans="2:12">
      <c r="B14" s="4" t="s">
        <v>14</v>
      </c>
      <c r="C14" t="s">
        <v>15</v>
      </c>
      <c r="D14" s="4" t="s">
        <v>11</v>
      </c>
      <c r="E14" t="s">
        <v>112</v>
      </c>
      <c r="F14" t="s">
        <v>124</v>
      </c>
      <c r="G14" t="s">
        <v>38</v>
      </c>
      <c r="H14" s="32" t="s">
        <v>39</v>
      </c>
      <c r="I14" s="5">
        <v>464000</v>
      </c>
    </row>
  </sheetData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E4D57-4B79-4A7D-A7F4-85B58F82AFA4}">
  <dimension ref="A3:B25"/>
  <sheetViews>
    <sheetView workbookViewId="0">
      <selection activeCell="A3" sqref="A3"/>
    </sheetView>
  </sheetViews>
  <sheetFormatPr baseColWidth="10" defaultRowHeight="14.5"/>
  <cols>
    <col min="1" max="1" width="26" bestFit="1" customWidth="1"/>
    <col min="2" max="2" width="18" bestFit="1" customWidth="1"/>
  </cols>
  <sheetData>
    <row r="3" spans="1:2">
      <c r="A3" s="66" t="s">
        <v>216</v>
      </c>
      <c r="B3" t="s">
        <v>218</v>
      </c>
    </row>
    <row r="4" spans="1:2">
      <c r="A4" s="32" t="s">
        <v>112</v>
      </c>
      <c r="B4" s="5"/>
    </row>
    <row r="5" spans="1:2">
      <c r="A5" s="68" t="s">
        <v>117</v>
      </c>
      <c r="B5" s="5">
        <v>800000</v>
      </c>
    </row>
    <row r="6" spans="1:2">
      <c r="A6" s="68" t="s">
        <v>15</v>
      </c>
      <c r="B6" s="5">
        <v>464000</v>
      </c>
    </row>
    <row r="7" spans="1:2">
      <c r="A7" s="68" t="s">
        <v>19</v>
      </c>
      <c r="B7" s="5">
        <v>600000</v>
      </c>
    </row>
    <row r="8" spans="1:2">
      <c r="A8" s="68" t="s">
        <v>23</v>
      </c>
      <c r="B8" s="5">
        <v>528000</v>
      </c>
    </row>
    <row r="9" spans="1:2">
      <c r="A9" s="68" t="s">
        <v>43</v>
      </c>
      <c r="B9" s="5">
        <v>557000</v>
      </c>
    </row>
    <row r="10" spans="1:2">
      <c r="A10" s="68" t="s">
        <v>13</v>
      </c>
      <c r="B10" s="5">
        <v>466000</v>
      </c>
    </row>
    <row r="11" spans="1:2">
      <c r="A11" s="68" t="s">
        <v>25</v>
      </c>
      <c r="B11" s="5">
        <v>657000</v>
      </c>
    </row>
    <row r="12" spans="1:2">
      <c r="A12" s="32" t="s">
        <v>229</v>
      </c>
      <c r="B12" s="5">
        <v>4072000</v>
      </c>
    </row>
    <row r="13" spans="1:2">
      <c r="A13" s="32" t="s">
        <v>109</v>
      </c>
      <c r="B13" s="5"/>
    </row>
    <row r="14" spans="1:2">
      <c r="A14" s="68" t="s">
        <v>17</v>
      </c>
      <c r="B14" s="5">
        <v>650000</v>
      </c>
    </row>
    <row r="15" spans="1:2">
      <c r="A15" s="68" t="s">
        <v>21</v>
      </c>
      <c r="B15" s="5">
        <v>440000</v>
      </c>
    </row>
    <row r="16" spans="1:2">
      <c r="A16" s="68" t="s">
        <v>10</v>
      </c>
      <c r="B16" s="5">
        <v>582400</v>
      </c>
    </row>
    <row r="17" spans="1:2">
      <c r="A17" s="68" t="s">
        <v>233</v>
      </c>
      <c r="B17" s="5">
        <v>560000</v>
      </c>
    </row>
    <row r="18" spans="1:2">
      <c r="A18" s="32" t="s">
        <v>230</v>
      </c>
      <c r="B18" s="5">
        <v>2232400</v>
      </c>
    </row>
    <row r="19" spans="1:2">
      <c r="A19" s="32" t="s">
        <v>122</v>
      </c>
      <c r="B19" s="5"/>
    </row>
    <row r="20" spans="1:2">
      <c r="A20" s="68" t="s">
        <v>99</v>
      </c>
      <c r="B20" s="5">
        <v>470000</v>
      </c>
    </row>
    <row r="21" spans="1:2">
      <c r="A21" s="32" t="s">
        <v>231</v>
      </c>
      <c r="B21" s="5">
        <v>470000</v>
      </c>
    </row>
    <row r="22" spans="1:2">
      <c r="A22" s="32" t="s">
        <v>120</v>
      </c>
      <c r="B22" s="5"/>
    </row>
    <row r="23" spans="1:2">
      <c r="A23" s="68" t="s">
        <v>46</v>
      </c>
      <c r="B23" s="5">
        <v>408000</v>
      </c>
    </row>
    <row r="24" spans="1:2">
      <c r="A24" s="32" t="s">
        <v>232</v>
      </c>
      <c r="B24" s="5">
        <v>408000</v>
      </c>
    </row>
    <row r="25" spans="1:2">
      <c r="A25" s="32" t="s">
        <v>217</v>
      </c>
      <c r="B25" s="5">
        <v>7182400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96B7F-AB50-4235-B80E-9D77DF43CBAF}">
  <dimension ref="B2:J15"/>
  <sheetViews>
    <sheetView workbookViewId="0">
      <selection activeCell="B2" sqref="B2"/>
    </sheetView>
  </sheetViews>
  <sheetFormatPr baseColWidth="10" defaultRowHeight="14.5"/>
  <cols>
    <col min="1" max="1" width="9.6328125" customWidth="1"/>
    <col min="2" max="2" width="12.81640625" customWidth="1"/>
    <col min="3" max="3" width="22.1796875" bestFit="1" customWidth="1"/>
    <col min="4" max="4" width="9.81640625" customWidth="1"/>
    <col min="5" max="5" width="11.54296875" customWidth="1"/>
    <col min="6" max="6" width="11.81640625" customWidth="1"/>
    <col min="7" max="7" width="17.08984375" customWidth="1"/>
    <col min="8" max="8" width="15.90625" customWidth="1"/>
    <col min="9" max="9" width="12.26953125" customWidth="1"/>
  </cols>
  <sheetData>
    <row r="2" spans="2:10">
      <c r="B2" s="70" t="s">
        <v>2</v>
      </c>
      <c r="C2" s="70" t="s">
        <v>3</v>
      </c>
      <c r="D2" s="70" t="s">
        <v>4</v>
      </c>
      <c r="E2" s="70" t="s">
        <v>106</v>
      </c>
      <c r="F2" s="70" t="s">
        <v>107</v>
      </c>
      <c r="G2" s="70" t="s">
        <v>35</v>
      </c>
      <c r="H2" s="70" t="s">
        <v>36</v>
      </c>
      <c r="I2" s="70" t="s">
        <v>108</v>
      </c>
      <c r="J2" s="71" t="s">
        <v>228</v>
      </c>
    </row>
    <row r="3" spans="2:10">
      <c r="B3" s="4" t="s">
        <v>20</v>
      </c>
      <c r="C3" t="s">
        <v>21</v>
      </c>
      <c r="D3" s="4" t="s">
        <v>8</v>
      </c>
      <c r="E3" t="s">
        <v>109</v>
      </c>
      <c r="F3" t="s">
        <v>110</v>
      </c>
      <c r="G3" t="s">
        <v>44</v>
      </c>
      <c r="H3" s="32" t="s">
        <v>39</v>
      </c>
      <c r="I3" s="5">
        <v>440000</v>
      </c>
      <c r="J3" s="5">
        <f>BaseDat[[#This Row],[IMPONIBLE]]*13%</f>
        <v>57200</v>
      </c>
    </row>
    <row r="4" spans="2:10">
      <c r="B4" s="4" t="s">
        <v>16</v>
      </c>
      <c r="C4" t="s">
        <v>17</v>
      </c>
      <c r="D4" s="4" t="s">
        <v>8</v>
      </c>
      <c r="E4" t="s">
        <v>109</v>
      </c>
      <c r="F4" t="s">
        <v>111</v>
      </c>
      <c r="G4" t="s">
        <v>44</v>
      </c>
      <c r="H4" s="32" t="s">
        <v>39</v>
      </c>
      <c r="I4" s="5">
        <v>650000</v>
      </c>
      <c r="J4" s="5">
        <f>BaseDat[[#This Row],[IMPONIBLE]]*13%</f>
        <v>84500</v>
      </c>
    </row>
    <row r="5" spans="2:10">
      <c r="B5" s="4" t="s">
        <v>42</v>
      </c>
      <c r="C5" t="s">
        <v>43</v>
      </c>
      <c r="D5" s="4" t="s">
        <v>8</v>
      </c>
      <c r="E5" t="s">
        <v>112</v>
      </c>
      <c r="F5" t="s">
        <v>113</v>
      </c>
      <c r="G5" t="s">
        <v>44</v>
      </c>
      <c r="H5" s="32" t="s">
        <v>45</v>
      </c>
      <c r="I5" s="5">
        <v>557000</v>
      </c>
      <c r="J5" s="5">
        <f>BaseDat[[#This Row],[IMPONIBLE]]*13%</f>
        <v>72410</v>
      </c>
    </row>
    <row r="6" spans="2:10">
      <c r="B6" s="4" t="s">
        <v>24</v>
      </c>
      <c r="C6" t="s">
        <v>25</v>
      </c>
      <c r="D6" s="4" t="s">
        <v>8</v>
      </c>
      <c r="E6" t="s">
        <v>112</v>
      </c>
      <c r="F6" t="s">
        <v>113</v>
      </c>
      <c r="G6" t="s">
        <v>44</v>
      </c>
      <c r="H6" s="32" t="s">
        <v>45</v>
      </c>
      <c r="I6" s="5">
        <v>657000</v>
      </c>
      <c r="J6" s="5">
        <f>BaseDat[[#This Row],[IMPONIBLE]]*13%</f>
        <v>85410</v>
      </c>
    </row>
    <row r="7" spans="2:10">
      <c r="B7" s="4" t="s">
        <v>12</v>
      </c>
      <c r="C7" t="s">
        <v>13</v>
      </c>
      <c r="D7" s="4" t="s">
        <v>8</v>
      </c>
      <c r="E7" t="s">
        <v>112</v>
      </c>
      <c r="F7" t="s">
        <v>114</v>
      </c>
      <c r="G7" t="s">
        <v>40</v>
      </c>
      <c r="H7" s="32" t="s">
        <v>39</v>
      </c>
      <c r="I7" s="5">
        <v>466000</v>
      </c>
      <c r="J7" s="5">
        <f>BaseDat[[#This Row],[IMPONIBLE]]*13%</f>
        <v>60580</v>
      </c>
    </row>
    <row r="8" spans="2:10">
      <c r="B8" s="4" t="s">
        <v>22</v>
      </c>
      <c r="C8" t="s">
        <v>23</v>
      </c>
      <c r="D8" s="4" t="s">
        <v>11</v>
      </c>
      <c r="E8" t="s">
        <v>112</v>
      </c>
      <c r="F8" t="s">
        <v>115</v>
      </c>
      <c r="G8" t="s">
        <v>44</v>
      </c>
      <c r="H8" s="32" t="s">
        <v>39</v>
      </c>
      <c r="I8" s="5">
        <v>528000</v>
      </c>
      <c r="J8" s="5">
        <f>BaseDat[[#This Row],[IMPONIBLE]]*13%</f>
        <v>68640</v>
      </c>
    </row>
    <row r="9" spans="2:10">
      <c r="B9" s="4" t="s">
        <v>116</v>
      </c>
      <c r="C9" t="s">
        <v>117</v>
      </c>
      <c r="D9" s="4" t="s">
        <v>11</v>
      </c>
      <c r="E9" t="s">
        <v>112</v>
      </c>
      <c r="F9" t="s">
        <v>118</v>
      </c>
      <c r="G9" t="s">
        <v>47</v>
      </c>
      <c r="H9" s="32" t="s">
        <v>39</v>
      </c>
      <c r="I9" s="5">
        <v>800000</v>
      </c>
      <c r="J9" s="5">
        <f>BaseDat[[#This Row],[IMPONIBLE]]*13%</f>
        <v>104000</v>
      </c>
    </row>
    <row r="10" spans="2:10">
      <c r="B10" s="4" t="s">
        <v>119</v>
      </c>
      <c r="C10" t="s">
        <v>46</v>
      </c>
      <c r="D10" s="4" t="s">
        <v>11</v>
      </c>
      <c r="E10" t="s">
        <v>120</v>
      </c>
      <c r="F10" t="s">
        <v>113</v>
      </c>
      <c r="G10" t="s">
        <v>40</v>
      </c>
      <c r="H10" s="32" t="s">
        <v>45</v>
      </c>
      <c r="I10" s="5">
        <v>408000</v>
      </c>
      <c r="J10" s="5">
        <f>BaseDat[[#This Row],[IMPONIBLE]]*13%</f>
        <v>53040</v>
      </c>
    </row>
    <row r="11" spans="2:10">
      <c r="B11" s="4" t="s">
        <v>121</v>
      </c>
      <c r="C11" t="s">
        <v>99</v>
      </c>
      <c r="D11" s="4" t="s">
        <v>11</v>
      </c>
      <c r="E11" t="s">
        <v>122</v>
      </c>
      <c r="F11" t="s">
        <v>123</v>
      </c>
      <c r="G11" s="33" t="s">
        <v>40</v>
      </c>
      <c r="H11" s="32" t="s">
        <v>41</v>
      </c>
      <c r="I11" s="5">
        <v>470000</v>
      </c>
      <c r="J11" s="5">
        <f>BaseDat[[#This Row],[IMPONIBLE]]*13%</f>
        <v>61100</v>
      </c>
    </row>
    <row r="12" spans="2:10">
      <c r="B12" s="4" t="s">
        <v>9</v>
      </c>
      <c r="C12" t="s">
        <v>10</v>
      </c>
      <c r="D12" s="4" t="s">
        <v>11</v>
      </c>
      <c r="E12" t="s">
        <v>109</v>
      </c>
      <c r="F12" t="s">
        <v>115</v>
      </c>
      <c r="G12" t="s">
        <v>40</v>
      </c>
      <c r="H12" s="32" t="s">
        <v>41</v>
      </c>
      <c r="I12" s="5">
        <v>582400</v>
      </c>
      <c r="J12" s="5">
        <f>BaseDat[[#This Row],[IMPONIBLE]]*13%</f>
        <v>75712</v>
      </c>
    </row>
    <row r="13" spans="2:10">
      <c r="B13" s="4" t="s">
        <v>18</v>
      </c>
      <c r="C13" t="s">
        <v>19</v>
      </c>
      <c r="D13" s="4" t="s">
        <v>11</v>
      </c>
      <c r="E13" t="s">
        <v>112</v>
      </c>
      <c r="F13" t="s">
        <v>123</v>
      </c>
      <c r="G13" t="s">
        <v>40</v>
      </c>
      <c r="H13" s="32" t="s">
        <v>45</v>
      </c>
      <c r="I13" s="5">
        <v>600000</v>
      </c>
      <c r="J13" s="5">
        <f>BaseDat[[#This Row],[IMPONIBLE]]*13%</f>
        <v>78000</v>
      </c>
    </row>
    <row r="14" spans="2:10">
      <c r="B14" s="4" t="s">
        <v>14</v>
      </c>
      <c r="C14" t="s">
        <v>15</v>
      </c>
      <c r="D14" s="4" t="s">
        <v>11</v>
      </c>
      <c r="E14" t="s">
        <v>112</v>
      </c>
      <c r="F14" t="s">
        <v>124</v>
      </c>
      <c r="G14" t="s">
        <v>38</v>
      </c>
      <c r="H14" s="32" t="s">
        <v>39</v>
      </c>
      <c r="I14" s="5">
        <v>464000</v>
      </c>
      <c r="J14" s="5">
        <f>BaseDat[[#This Row],[IMPONIBLE]]*13%</f>
        <v>60320</v>
      </c>
    </row>
    <row r="15" spans="2:10">
      <c r="B15" s="4" t="s">
        <v>211</v>
      </c>
      <c r="C15" t="s">
        <v>233</v>
      </c>
      <c r="D15" s="4" t="s">
        <v>11</v>
      </c>
      <c r="E15" t="s">
        <v>109</v>
      </c>
      <c r="F15" t="s">
        <v>110</v>
      </c>
      <c r="G15" t="s">
        <v>38</v>
      </c>
      <c r="H15" s="32" t="s">
        <v>39</v>
      </c>
      <c r="I15" s="5">
        <v>560000</v>
      </c>
      <c r="J15" s="5">
        <f>BaseDat[[#This Row],[IMPONIBLE]]*13%</f>
        <v>72800</v>
      </c>
    </row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1CDE2-68E1-4F95-A71B-E4B8FF0FABF2}">
  <dimension ref="A3:B26"/>
  <sheetViews>
    <sheetView workbookViewId="0">
      <selection activeCell="C3" sqref="C3"/>
    </sheetView>
  </sheetViews>
  <sheetFormatPr baseColWidth="10" defaultRowHeight="14.5"/>
  <cols>
    <col min="1" max="1" width="28.1796875" bestFit="1" customWidth="1"/>
    <col min="2" max="2" width="12.7265625" bestFit="1" customWidth="1"/>
  </cols>
  <sheetData>
    <row r="3" spans="1:2">
      <c r="A3" s="66" t="s">
        <v>216</v>
      </c>
      <c r="B3" t="s">
        <v>234</v>
      </c>
    </row>
    <row r="4" spans="1:2">
      <c r="A4" s="32" t="s">
        <v>96</v>
      </c>
      <c r="B4" s="5"/>
    </row>
    <row r="5" spans="1:2">
      <c r="A5" s="68" t="s">
        <v>19</v>
      </c>
      <c r="B5" s="5">
        <v>25732995</v>
      </c>
    </row>
    <row r="6" spans="1:2">
      <c r="A6" s="68" t="s">
        <v>27</v>
      </c>
      <c r="B6" s="5">
        <v>13147318</v>
      </c>
    </row>
    <row r="7" spans="1:2">
      <c r="A7" s="68" t="s">
        <v>7</v>
      </c>
      <c r="B7" s="5">
        <v>20307860</v>
      </c>
    </row>
    <row r="8" spans="1:2">
      <c r="A8" s="68" t="s">
        <v>13</v>
      </c>
      <c r="B8" s="5">
        <v>24519347</v>
      </c>
    </row>
    <row r="9" spans="1:2">
      <c r="A9" s="68" t="s">
        <v>25</v>
      </c>
      <c r="B9" s="5">
        <v>15078994</v>
      </c>
    </row>
    <row r="10" spans="1:2">
      <c r="A10" s="68" t="s">
        <v>147</v>
      </c>
      <c r="B10" s="5">
        <v>27880417</v>
      </c>
    </row>
    <row r="11" spans="1:2">
      <c r="A11" s="32" t="s">
        <v>235</v>
      </c>
      <c r="B11" s="5">
        <v>126666931</v>
      </c>
    </row>
    <row r="12" spans="1:2">
      <c r="A12" s="32" t="s">
        <v>142</v>
      </c>
      <c r="B12" s="5"/>
    </row>
    <row r="13" spans="1:2">
      <c r="A13" s="68" t="s">
        <v>99</v>
      </c>
      <c r="B13" s="5">
        <v>29299145</v>
      </c>
    </row>
    <row r="14" spans="1:2">
      <c r="A14" s="32" t="s">
        <v>236</v>
      </c>
      <c r="B14" s="5">
        <v>29299145</v>
      </c>
    </row>
    <row r="15" spans="1:2">
      <c r="A15" s="32" t="s">
        <v>138</v>
      </c>
      <c r="B15" s="5"/>
    </row>
    <row r="16" spans="1:2">
      <c r="A16" s="68" t="s">
        <v>149</v>
      </c>
      <c r="B16" s="5">
        <v>12714112</v>
      </c>
    </row>
    <row r="17" spans="1:2">
      <c r="A17" s="68" t="s">
        <v>23</v>
      </c>
      <c r="B17" s="5">
        <v>5657484</v>
      </c>
    </row>
    <row r="18" spans="1:2">
      <c r="A18" s="68" t="s">
        <v>145</v>
      </c>
      <c r="B18" s="5">
        <v>16845922</v>
      </c>
    </row>
    <row r="19" spans="1:2">
      <c r="A19" s="32" t="s">
        <v>237</v>
      </c>
      <c r="B19" s="5">
        <v>35217518</v>
      </c>
    </row>
    <row r="20" spans="1:2">
      <c r="A20" s="32" t="s">
        <v>97</v>
      </c>
      <c r="B20" s="5"/>
    </row>
    <row r="21" spans="1:2">
      <c r="A21" s="68" t="s">
        <v>46</v>
      </c>
      <c r="B21" s="5">
        <v>20962232</v>
      </c>
    </row>
    <row r="22" spans="1:2">
      <c r="A22" s="68" t="s">
        <v>49</v>
      </c>
      <c r="B22" s="5">
        <v>23355833</v>
      </c>
    </row>
    <row r="23" spans="1:2">
      <c r="A23" s="68" t="s">
        <v>10</v>
      </c>
      <c r="B23" s="5">
        <v>32163792</v>
      </c>
    </row>
    <row r="24" spans="1:2">
      <c r="A24" s="68" t="s">
        <v>43</v>
      </c>
      <c r="B24" s="5">
        <v>12975234</v>
      </c>
    </row>
    <row r="25" spans="1:2">
      <c r="A25" s="32" t="s">
        <v>238</v>
      </c>
      <c r="B25" s="5">
        <v>89457091</v>
      </c>
    </row>
    <row r="26" spans="1:2">
      <c r="A26" s="32" t="s">
        <v>217</v>
      </c>
      <c r="B26" s="5">
        <v>280640685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D9660-9D6D-4CB1-85CB-1A85AAC5B83A}">
  <dimension ref="B1:K17"/>
  <sheetViews>
    <sheetView workbookViewId="0">
      <selection activeCell="F18" sqref="F18"/>
    </sheetView>
  </sheetViews>
  <sheetFormatPr baseColWidth="10" defaultColWidth="11.453125" defaultRowHeight="14.5"/>
  <cols>
    <col min="1" max="1" width="3.1796875" customWidth="1"/>
    <col min="2" max="2" width="13.36328125" customWidth="1"/>
    <col min="3" max="3" width="29.81640625" customWidth="1"/>
    <col min="4" max="4" width="12.1796875" customWidth="1"/>
    <col min="6" max="6" width="8.6328125" customWidth="1"/>
    <col min="7" max="7" width="13.54296875" customWidth="1"/>
  </cols>
  <sheetData>
    <row r="1" spans="2:11">
      <c r="C1" s="34" t="s">
        <v>125</v>
      </c>
    </row>
    <row r="3" spans="2:11">
      <c r="B3" s="72" t="s">
        <v>126</v>
      </c>
      <c r="C3" s="73" t="s">
        <v>0</v>
      </c>
      <c r="D3" s="73" t="s">
        <v>94</v>
      </c>
      <c r="E3" s="74" t="s">
        <v>127</v>
      </c>
      <c r="G3" s="72" t="s">
        <v>126</v>
      </c>
      <c r="H3" s="77" t="s">
        <v>128</v>
      </c>
      <c r="I3" s="77" t="s">
        <v>129</v>
      </c>
      <c r="J3" s="77" t="s">
        <v>130</v>
      </c>
      <c r="K3" s="74" t="s">
        <v>95</v>
      </c>
    </row>
    <row r="4" spans="2:11">
      <c r="B4" t="s">
        <v>131</v>
      </c>
      <c r="C4" t="s">
        <v>13</v>
      </c>
      <c r="D4" t="s">
        <v>96</v>
      </c>
      <c r="E4" s="5">
        <v>466000</v>
      </c>
      <c r="G4" s="4" t="s">
        <v>131</v>
      </c>
      <c r="H4" s="5">
        <v>8108792</v>
      </c>
      <c r="I4" s="5">
        <v>4761993</v>
      </c>
      <c r="J4" s="5">
        <v>11648562</v>
      </c>
      <c r="K4" s="5">
        <f>SUM(H4:J4)</f>
        <v>24519347</v>
      </c>
    </row>
    <row r="5" spans="2:11">
      <c r="B5" t="s">
        <v>132</v>
      </c>
      <c r="C5" t="s">
        <v>43</v>
      </c>
      <c r="D5" t="s">
        <v>97</v>
      </c>
      <c r="E5" s="5">
        <v>557000</v>
      </c>
      <c r="G5" s="4" t="s">
        <v>132</v>
      </c>
      <c r="H5" s="5">
        <v>2826258</v>
      </c>
      <c r="I5" s="5">
        <v>5452833</v>
      </c>
      <c r="J5" s="5">
        <v>4696143</v>
      </c>
      <c r="K5" s="5">
        <f t="shared" ref="K5:K17" si="0">SUM(H5:J5)</f>
        <v>12975234</v>
      </c>
    </row>
    <row r="6" spans="2:11">
      <c r="B6" t="s">
        <v>133</v>
      </c>
      <c r="C6" t="s">
        <v>25</v>
      </c>
      <c r="D6" t="s">
        <v>96</v>
      </c>
      <c r="E6" s="5">
        <v>657000</v>
      </c>
      <c r="G6" s="4" t="s">
        <v>133</v>
      </c>
      <c r="H6" s="5">
        <v>7407818</v>
      </c>
      <c r="I6" s="5">
        <v>3157745</v>
      </c>
      <c r="J6" s="5">
        <v>4513431</v>
      </c>
      <c r="K6" s="5">
        <f t="shared" si="0"/>
        <v>15078994</v>
      </c>
    </row>
    <row r="7" spans="2:11">
      <c r="B7" t="s">
        <v>134</v>
      </c>
      <c r="C7" t="s">
        <v>46</v>
      </c>
      <c r="D7" t="s">
        <v>97</v>
      </c>
      <c r="E7" s="5">
        <v>408000</v>
      </c>
      <c r="G7" s="4" t="s">
        <v>134</v>
      </c>
      <c r="H7" s="5">
        <v>5358328</v>
      </c>
      <c r="I7" s="5">
        <v>9426105</v>
      </c>
      <c r="J7" s="5">
        <v>6177799</v>
      </c>
      <c r="K7" s="5">
        <f t="shared" si="0"/>
        <v>20962232</v>
      </c>
    </row>
    <row r="8" spans="2:11">
      <c r="B8" t="s">
        <v>135</v>
      </c>
      <c r="C8" t="s">
        <v>10</v>
      </c>
      <c r="D8" t="s">
        <v>97</v>
      </c>
      <c r="E8" s="5">
        <v>582400</v>
      </c>
      <c r="G8" s="4" t="s">
        <v>135</v>
      </c>
      <c r="H8" s="5">
        <v>10130123</v>
      </c>
      <c r="I8" s="5">
        <v>11067634</v>
      </c>
      <c r="J8" s="5">
        <v>10966035</v>
      </c>
      <c r="K8" s="5">
        <f t="shared" si="0"/>
        <v>32163792</v>
      </c>
    </row>
    <row r="9" spans="2:11">
      <c r="B9" t="s">
        <v>136</v>
      </c>
      <c r="C9" t="s">
        <v>27</v>
      </c>
      <c r="D9" t="s">
        <v>96</v>
      </c>
      <c r="E9" s="5">
        <v>428000</v>
      </c>
      <c r="G9" s="4" t="s">
        <v>136</v>
      </c>
      <c r="H9" s="5">
        <v>6906087</v>
      </c>
      <c r="I9" s="5">
        <v>3885627</v>
      </c>
      <c r="J9" s="5">
        <v>2355604</v>
      </c>
      <c r="K9" s="5">
        <f t="shared" si="0"/>
        <v>13147318</v>
      </c>
    </row>
    <row r="10" spans="2:11">
      <c r="B10" t="s">
        <v>137</v>
      </c>
      <c r="C10" t="s">
        <v>23</v>
      </c>
      <c r="D10" t="s">
        <v>138</v>
      </c>
      <c r="E10" s="5">
        <v>528000</v>
      </c>
      <c r="G10" s="4" t="s">
        <v>137</v>
      </c>
      <c r="H10" s="5">
        <v>1990275</v>
      </c>
      <c r="I10" s="5">
        <v>1632192</v>
      </c>
      <c r="J10" s="5">
        <v>2035017</v>
      </c>
      <c r="K10" s="5">
        <f t="shared" si="0"/>
        <v>5657484</v>
      </c>
    </row>
    <row r="11" spans="2:11">
      <c r="B11" t="s">
        <v>139</v>
      </c>
      <c r="C11" t="s">
        <v>7</v>
      </c>
      <c r="D11" t="s">
        <v>96</v>
      </c>
      <c r="E11" s="5">
        <v>450000</v>
      </c>
      <c r="G11" s="4" t="s">
        <v>139</v>
      </c>
      <c r="H11" s="5">
        <v>9932527</v>
      </c>
      <c r="I11" s="5">
        <v>5762571</v>
      </c>
      <c r="J11" s="5">
        <v>4612762</v>
      </c>
      <c r="K11" s="5">
        <f t="shared" si="0"/>
        <v>20307860</v>
      </c>
    </row>
    <row r="12" spans="2:11">
      <c r="B12" t="s">
        <v>140</v>
      </c>
      <c r="C12" t="s">
        <v>49</v>
      </c>
      <c r="D12" t="s">
        <v>97</v>
      </c>
      <c r="E12" s="5">
        <v>457000</v>
      </c>
      <c r="G12" s="4" t="s">
        <v>140</v>
      </c>
      <c r="H12" s="5">
        <v>9497557</v>
      </c>
      <c r="I12" s="5">
        <v>11052172</v>
      </c>
      <c r="J12" s="5">
        <v>2806104</v>
      </c>
      <c r="K12" s="5">
        <f t="shared" si="0"/>
        <v>23355833</v>
      </c>
    </row>
    <row r="13" spans="2:11">
      <c r="B13" t="s">
        <v>141</v>
      </c>
      <c r="C13" t="s">
        <v>99</v>
      </c>
      <c r="D13" t="s">
        <v>142</v>
      </c>
      <c r="E13" s="5">
        <v>470000</v>
      </c>
      <c r="G13" s="4" t="s">
        <v>141</v>
      </c>
      <c r="H13" s="5">
        <v>10195385</v>
      </c>
      <c r="I13" s="5">
        <v>9470321</v>
      </c>
      <c r="J13" s="5">
        <v>9633439</v>
      </c>
      <c r="K13" s="5">
        <f t="shared" si="0"/>
        <v>29299145</v>
      </c>
    </row>
    <row r="14" spans="2:11">
      <c r="B14" t="s">
        <v>143</v>
      </c>
      <c r="C14" t="s">
        <v>19</v>
      </c>
      <c r="D14" t="s">
        <v>96</v>
      </c>
      <c r="E14" s="5">
        <v>600000</v>
      </c>
      <c r="G14" s="4" t="s">
        <v>143</v>
      </c>
      <c r="H14" s="5">
        <v>8731335</v>
      </c>
      <c r="I14" s="5">
        <v>10424654</v>
      </c>
      <c r="J14" s="5">
        <v>6577006</v>
      </c>
      <c r="K14" s="5">
        <f t="shared" si="0"/>
        <v>25732995</v>
      </c>
    </row>
    <row r="15" spans="2:11">
      <c r="B15" t="s">
        <v>144</v>
      </c>
      <c r="C15" t="s">
        <v>145</v>
      </c>
      <c r="D15" t="s">
        <v>138</v>
      </c>
      <c r="E15" s="5">
        <v>640000</v>
      </c>
      <c r="G15" s="4" t="s">
        <v>144</v>
      </c>
      <c r="H15" s="5">
        <v>5877136</v>
      </c>
      <c r="I15" s="5">
        <v>4488758</v>
      </c>
      <c r="J15" s="5">
        <v>6480028</v>
      </c>
      <c r="K15" s="5">
        <f t="shared" si="0"/>
        <v>16845922</v>
      </c>
    </row>
    <row r="16" spans="2:11">
      <c r="B16" t="s">
        <v>146</v>
      </c>
      <c r="C16" t="s">
        <v>147</v>
      </c>
      <c r="D16" t="s">
        <v>96</v>
      </c>
      <c r="E16" s="5">
        <v>550000</v>
      </c>
      <c r="G16" s="4" t="s">
        <v>146</v>
      </c>
      <c r="H16" s="5">
        <v>11544048</v>
      </c>
      <c r="I16" s="5">
        <v>8152991</v>
      </c>
      <c r="J16" s="5">
        <v>8183378</v>
      </c>
      <c r="K16" s="5">
        <f t="shared" si="0"/>
        <v>27880417</v>
      </c>
    </row>
    <row r="17" spans="2:11">
      <c r="B17" s="75" t="s">
        <v>148</v>
      </c>
      <c r="C17" s="75" t="s">
        <v>149</v>
      </c>
      <c r="D17" s="75" t="s">
        <v>138</v>
      </c>
      <c r="E17" s="76">
        <v>400000</v>
      </c>
      <c r="G17" s="78" t="s">
        <v>148</v>
      </c>
      <c r="H17" s="76">
        <v>1557269</v>
      </c>
      <c r="I17" s="76">
        <v>7749360</v>
      </c>
      <c r="J17" s="76">
        <v>3407483</v>
      </c>
      <c r="K17" s="76">
        <f t="shared" si="0"/>
        <v>12714112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59086-9355-49D4-BEAC-78587EBAA919}">
  <dimension ref="B1:K16"/>
  <sheetViews>
    <sheetView workbookViewId="0">
      <selection activeCell="J14" sqref="J14"/>
    </sheetView>
  </sheetViews>
  <sheetFormatPr baseColWidth="10" defaultRowHeight="14.5"/>
  <cols>
    <col min="1" max="1" width="7.54296875" customWidth="1"/>
    <col min="2" max="2" width="24.36328125" bestFit="1" customWidth="1"/>
    <col min="3" max="3" width="10" customWidth="1"/>
    <col min="4" max="4" width="11.54296875" customWidth="1"/>
    <col min="5" max="5" width="11.90625" customWidth="1"/>
    <col min="6" max="6" width="13.54296875" customWidth="1"/>
    <col min="7" max="7" width="6.08984375" customWidth="1"/>
    <col min="8" max="8" width="12.08984375" customWidth="1"/>
    <col min="9" max="9" width="13.81640625" customWidth="1"/>
    <col min="11" max="11" width="12" customWidth="1"/>
  </cols>
  <sheetData>
    <row r="1" spans="2:11">
      <c r="I1" s="4" t="s">
        <v>239</v>
      </c>
      <c r="J1" s="4" t="s">
        <v>240</v>
      </c>
      <c r="K1" s="4" t="s">
        <v>241</v>
      </c>
    </row>
    <row r="2" spans="2:11">
      <c r="B2" s="35" t="s">
        <v>150</v>
      </c>
      <c r="C2" s="36" t="s">
        <v>94</v>
      </c>
      <c r="D2" s="36" t="s">
        <v>128</v>
      </c>
      <c r="E2" s="36" t="s">
        <v>129</v>
      </c>
      <c r="F2" s="36" t="s">
        <v>95</v>
      </c>
      <c r="G2" s="37">
        <v>1</v>
      </c>
      <c r="H2" s="36" t="s">
        <v>94</v>
      </c>
      <c r="I2" s="36" t="s">
        <v>151</v>
      </c>
      <c r="J2" s="36" t="s">
        <v>152</v>
      </c>
      <c r="K2" s="36" t="s">
        <v>1</v>
      </c>
    </row>
    <row r="3" spans="2:11">
      <c r="B3" t="s">
        <v>13</v>
      </c>
      <c r="C3" t="s">
        <v>96</v>
      </c>
      <c r="D3" s="5">
        <v>4108792</v>
      </c>
      <c r="E3" s="5">
        <v>3761993</v>
      </c>
      <c r="F3" s="5">
        <f>SUM(D3:E3)</f>
        <v>7870785</v>
      </c>
      <c r="H3" s="16" t="s">
        <v>96</v>
      </c>
      <c r="I3" s="18">
        <f>COUNTIF(C3:C16,H3)</f>
        <v>7</v>
      </c>
      <c r="J3" s="7">
        <f>SUMIF(C3:C16,H3,F3:F16)</f>
        <v>71001835</v>
      </c>
      <c r="K3" s="7">
        <f>AVERAGEIF($C$3:$C$16,H3,$F$3:$F$16)</f>
        <v>10143119.285714285</v>
      </c>
    </row>
    <row r="4" spans="2:11">
      <c r="B4" t="s">
        <v>43</v>
      </c>
      <c r="C4" t="s">
        <v>97</v>
      </c>
      <c r="D4" s="5">
        <v>2826258</v>
      </c>
      <c r="E4" s="5">
        <v>5452833</v>
      </c>
      <c r="F4" s="5">
        <f t="shared" ref="F4:F16" si="0">SUM(D4:E4)</f>
        <v>8279091</v>
      </c>
      <c r="H4" s="16" t="s">
        <v>98</v>
      </c>
      <c r="I4" s="18">
        <f>COUNTIF(C3:C16,H4)</f>
        <v>3</v>
      </c>
      <c r="J4" s="7">
        <f>SUMIF(C3:C16,H4,F3:F16)</f>
        <v>23458361</v>
      </c>
      <c r="K4" s="7">
        <f t="shared" ref="K4:K5" si="1">AVERAGEIF($C$3:$C$16,H4,$F$3:$F$16)</f>
        <v>7819453.666666667</v>
      </c>
    </row>
    <row r="5" spans="2:11">
      <c r="B5" t="s">
        <v>25</v>
      </c>
      <c r="C5" t="s">
        <v>96</v>
      </c>
      <c r="D5" s="5">
        <v>7407818</v>
      </c>
      <c r="E5" s="5">
        <v>3157745</v>
      </c>
      <c r="F5" s="5">
        <f t="shared" si="0"/>
        <v>10565563</v>
      </c>
      <c r="H5" s="16" t="s">
        <v>97</v>
      </c>
      <c r="I5" s="18">
        <f>COUNTIF(C3:C16,H5)</f>
        <v>4</v>
      </c>
      <c r="J5" s="7">
        <f>SUMIF(C3:C16,H5,F3:F16)</f>
        <v>38133287</v>
      </c>
      <c r="K5" s="7">
        <f t="shared" si="1"/>
        <v>9533321.75</v>
      </c>
    </row>
    <row r="6" spans="2:11">
      <c r="B6" t="s">
        <v>46</v>
      </c>
      <c r="C6" t="s">
        <v>96</v>
      </c>
      <c r="D6" s="5">
        <v>4358000</v>
      </c>
      <c r="E6" s="5">
        <v>8426000</v>
      </c>
      <c r="F6" s="5">
        <f t="shared" si="0"/>
        <v>12784000</v>
      </c>
    </row>
    <row r="7" spans="2:11">
      <c r="B7" t="s">
        <v>10</v>
      </c>
      <c r="C7" t="s">
        <v>97</v>
      </c>
      <c r="D7" s="5">
        <v>1130677</v>
      </c>
      <c r="E7" s="5">
        <v>5067890</v>
      </c>
      <c r="F7" s="5">
        <f t="shared" si="0"/>
        <v>6198567</v>
      </c>
      <c r="G7" s="37">
        <v>2</v>
      </c>
      <c r="H7" s="36" t="s">
        <v>94</v>
      </c>
      <c r="I7" s="36" t="s">
        <v>151</v>
      </c>
      <c r="J7" s="36" t="s">
        <v>152</v>
      </c>
      <c r="K7" s="36" t="s">
        <v>1</v>
      </c>
    </row>
    <row r="8" spans="2:11">
      <c r="B8" t="s">
        <v>27</v>
      </c>
      <c r="C8" t="s">
        <v>96</v>
      </c>
      <c r="D8" s="5">
        <v>6906087</v>
      </c>
      <c r="E8" s="5">
        <v>3885627</v>
      </c>
      <c r="F8" s="5">
        <f t="shared" si="0"/>
        <v>10791714</v>
      </c>
      <c r="H8" t="s">
        <v>97</v>
      </c>
      <c r="I8" s="4">
        <f>COUNTIF(C3:C16,H8)</f>
        <v>4</v>
      </c>
      <c r="J8" s="5">
        <f>SUMIF(C3:C16,H8,F3:F16)</f>
        <v>38133287</v>
      </c>
      <c r="K8" s="5">
        <f>AVERAGEIF(C3:C16,H8,F3:F16)</f>
        <v>9533321.75</v>
      </c>
    </row>
    <row r="9" spans="2:11">
      <c r="B9" t="s">
        <v>23</v>
      </c>
      <c r="C9" t="s">
        <v>98</v>
      </c>
      <c r="D9" s="5">
        <v>1990275</v>
      </c>
      <c r="E9" s="5">
        <v>1632192</v>
      </c>
      <c r="F9" s="5">
        <f t="shared" si="0"/>
        <v>3622467</v>
      </c>
    </row>
    <row r="10" spans="2:11">
      <c r="B10" t="s">
        <v>7</v>
      </c>
      <c r="C10" t="s">
        <v>96</v>
      </c>
      <c r="D10" s="5">
        <v>2345876</v>
      </c>
      <c r="E10" s="5">
        <v>5762571</v>
      </c>
      <c r="F10" s="5">
        <f t="shared" si="0"/>
        <v>8108447</v>
      </c>
      <c r="H10" s="59" t="s">
        <v>153</v>
      </c>
      <c r="I10" s="59"/>
      <c r="J10" s="59"/>
    </row>
    <row r="11" spans="2:11">
      <c r="B11" t="s">
        <v>49</v>
      </c>
      <c r="C11" t="s">
        <v>97</v>
      </c>
      <c r="D11" s="5">
        <v>4297000</v>
      </c>
      <c r="E11" s="5">
        <v>10052000</v>
      </c>
      <c r="F11" s="5">
        <f t="shared" si="0"/>
        <v>14349000</v>
      </c>
    </row>
    <row r="12" spans="2:11">
      <c r="B12" t="s">
        <v>99</v>
      </c>
      <c r="C12" t="s">
        <v>98</v>
      </c>
      <c r="D12" s="5">
        <v>5000000</v>
      </c>
      <c r="E12" s="5">
        <v>4470000</v>
      </c>
      <c r="F12" s="5">
        <f t="shared" si="0"/>
        <v>9470000</v>
      </c>
      <c r="I12" t="s">
        <v>242</v>
      </c>
    </row>
    <row r="13" spans="2:11">
      <c r="B13" t="s">
        <v>19</v>
      </c>
      <c r="C13" t="s">
        <v>96</v>
      </c>
      <c r="D13" s="5">
        <v>8731335</v>
      </c>
      <c r="E13" s="5">
        <v>2453000</v>
      </c>
      <c r="F13" s="5">
        <f t="shared" si="0"/>
        <v>11184335</v>
      </c>
      <c r="I13" s="3" t="s">
        <v>154</v>
      </c>
      <c r="J13" s="36" t="s">
        <v>151</v>
      </c>
      <c r="K13" s="36" t="s">
        <v>52</v>
      </c>
    </row>
    <row r="14" spans="2:11">
      <c r="B14" t="s">
        <v>145</v>
      </c>
      <c r="C14" t="s">
        <v>98</v>
      </c>
      <c r="D14" s="5">
        <v>5877136</v>
      </c>
      <c r="E14" s="5">
        <v>4488758</v>
      </c>
      <c r="F14" s="5">
        <f t="shared" si="0"/>
        <v>10365894</v>
      </c>
      <c r="I14" s="5">
        <v>8000000</v>
      </c>
      <c r="J14" s="4">
        <f>COUNTIF(F3:F16,"&gt;=" &amp; I14)</f>
        <v>11</v>
      </c>
    </row>
    <row r="15" spans="2:11">
      <c r="B15" t="s">
        <v>147</v>
      </c>
      <c r="C15" t="s">
        <v>96</v>
      </c>
      <c r="D15" s="5">
        <v>1544000</v>
      </c>
      <c r="E15" s="5">
        <v>8152991</v>
      </c>
      <c r="F15" s="5">
        <f t="shared" si="0"/>
        <v>9696991</v>
      </c>
    </row>
    <row r="16" spans="2:11">
      <c r="B16" s="2" t="s">
        <v>149</v>
      </c>
      <c r="C16" s="2" t="s">
        <v>97</v>
      </c>
      <c r="D16" s="6">
        <v>1557269</v>
      </c>
      <c r="E16" s="6">
        <v>7749360</v>
      </c>
      <c r="F16" s="6">
        <f t="shared" si="0"/>
        <v>9306629</v>
      </c>
    </row>
  </sheetData>
  <mergeCells count="1">
    <mergeCell ref="H10:J10"/>
  </mergeCells>
  <dataValidations count="1">
    <dataValidation type="list" allowBlank="1" showInputMessage="1" showErrorMessage="1" sqref="H13 H8" xr:uid="{06AFF185-D9AC-446B-A1FD-0292B50FEA9E}">
      <formula1>"Norte,Centro,Sur"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E9D96-0DFE-4883-8EC9-055C9DCD24A9}">
  <dimension ref="A1:L17"/>
  <sheetViews>
    <sheetView tabSelected="1" workbookViewId="0">
      <selection activeCell="K2" sqref="K2"/>
    </sheetView>
  </sheetViews>
  <sheetFormatPr baseColWidth="10" defaultRowHeight="14.5"/>
  <cols>
    <col min="1" max="1" width="10.36328125" customWidth="1"/>
    <col min="3" max="3" width="10.1796875" customWidth="1"/>
    <col min="4" max="4" width="31" customWidth="1"/>
    <col min="5" max="5" width="11.36328125" customWidth="1"/>
    <col min="7" max="7" width="7.81640625" customWidth="1"/>
    <col min="8" max="8" width="14.7265625" customWidth="1"/>
    <col min="10" max="11" width="12.453125" customWidth="1"/>
  </cols>
  <sheetData>
    <row r="1" spans="1:12">
      <c r="A1" s="39" t="s">
        <v>100</v>
      </c>
      <c r="B1" s="39" t="s">
        <v>101</v>
      </c>
      <c r="C1" s="39" t="s">
        <v>2</v>
      </c>
      <c r="D1" s="39" t="s">
        <v>168</v>
      </c>
      <c r="E1" s="39" t="s">
        <v>169</v>
      </c>
      <c r="F1" s="39" t="s">
        <v>170</v>
      </c>
      <c r="G1" s="39" t="s">
        <v>171</v>
      </c>
      <c r="H1" s="39" t="s">
        <v>95</v>
      </c>
      <c r="I1" s="39" t="s">
        <v>172</v>
      </c>
      <c r="K1" s="39" t="s">
        <v>173</v>
      </c>
      <c r="L1" s="39" t="s">
        <v>151</v>
      </c>
    </row>
    <row r="2" spans="1:12">
      <c r="A2" s="40">
        <v>1</v>
      </c>
      <c r="B2" s="41">
        <v>44691</v>
      </c>
      <c r="C2" s="40" t="s">
        <v>174</v>
      </c>
      <c r="D2" s="42" t="s">
        <v>175</v>
      </c>
      <c r="E2" s="42" t="s">
        <v>88</v>
      </c>
      <c r="F2" s="43">
        <v>1000000</v>
      </c>
      <c r="G2" s="43">
        <v>190000</v>
      </c>
      <c r="H2" s="43">
        <v>1190000</v>
      </c>
      <c r="I2" s="4" t="s">
        <v>176</v>
      </c>
      <c r="K2" s="29">
        <v>44682</v>
      </c>
      <c r="L2" s="4">
        <f>COUNTIF(B2:B13,K2)</f>
        <v>0</v>
      </c>
    </row>
    <row r="3" spans="1:12">
      <c r="A3" s="40">
        <v>2</v>
      </c>
      <c r="B3" s="41">
        <v>44691</v>
      </c>
      <c r="C3" s="40" t="s">
        <v>177</v>
      </c>
      <c r="D3" s="42" t="s">
        <v>178</v>
      </c>
      <c r="E3" s="42" t="s">
        <v>179</v>
      </c>
      <c r="F3" s="43">
        <v>890000</v>
      </c>
      <c r="G3" s="43">
        <v>169100</v>
      </c>
      <c r="H3" s="43">
        <v>1059100</v>
      </c>
      <c r="I3" s="4" t="s">
        <v>180</v>
      </c>
    </row>
    <row r="4" spans="1:12">
      <c r="A4" s="40">
        <v>3</v>
      </c>
      <c r="B4" s="41">
        <v>44691</v>
      </c>
      <c r="C4" s="40" t="s">
        <v>181</v>
      </c>
      <c r="D4" s="42" t="s">
        <v>182</v>
      </c>
      <c r="E4" s="42" t="s">
        <v>183</v>
      </c>
      <c r="F4" s="43">
        <v>269000</v>
      </c>
      <c r="G4" s="43">
        <v>51110</v>
      </c>
      <c r="H4" s="43">
        <v>320110</v>
      </c>
      <c r="I4" s="4" t="s">
        <v>176</v>
      </c>
    </row>
    <row r="5" spans="1:12">
      <c r="A5" s="40">
        <v>4</v>
      </c>
      <c r="B5" s="41">
        <v>44691</v>
      </c>
      <c r="C5" s="40" t="s">
        <v>184</v>
      </c>
      <c r="D5" s="42" t="s">
        <v>185</v>
      </c>
      <c r="E5" s="42" t="s">
        <v>88</v>
      </c>
      <c r="F5" s="43">
        <v>440000</v>
      </c>
      <c r="G5" s="43">
        <v>83600</v>
      </c>
      <c r="H5" s="43">
        <v>523600</v>
      </c>
      <c r="I5" s="4" t="s">
        <v>176</v>
      </c>
    </row>
    <row r="6" spans="1:12">
      <c r="A6" s="40">
        <v>5</v>
      </c>
      <c r="B6" s="41">
        <v>44691</v>
      </c>
      <c r="C6" s="40" t="s">
        <v>181</v>
      </c>
      <c r="D6" s="42" t="s">
        <v>182</v>
      </c>
      <c r="E6" s="42" t="s">
        <v>183</v>
      </c>
      <c r="F6" s="43">
        <v>510000</v>
      </c>
      <c r="G6" s="43">
        <v>96900</v>
      </c>
      <c r="H6" s="43">
        <v>606900</v>
      </c>
      <c r="I6" s="4" t="s">
        <v>180</v>
      </c>
    </row>
    <row r="7" spans="1:12">
      <c r="A7" s="40">
        <v>6</v>
      </c>
      <c r="B7" s="41">
        <v>44692</v>
      </c>
      <c r="C7" s="40" t="s">
        <v>177</v>
      </c>
      <c r="D7" s="42" t="s">
        <v>178</v>
      </c>
      <c r="E7" s="42" t="s">
        <v>179</v>
      </c>
      <c r="F7" s="43">
        <v>1100000</v>
      </c>
      <c r="G7" s="43">
        <v>209000</v>
      </c>
      <c r="H7" s="43">
        <v>1309000</v>
      </c>
      <c r="I7" s="4" t="s">
        <v>176</v>
      </c>
    </row>
    <row r="8" spans="1:12">
      <c r="A8" s="40">
        <v>7</v>
      </c>
      <c r="B8" s="41">
        <v>44692</v>
      </c>
      <c r="C8" s="40" t="s">
        <v>186</v>
      </c>
      <c r="D8" s="42" t="s">
        <v>187</v>
      </c>
      <c r="E8" s="42" t="s">
        <v>88</v>
      </c>
      <c r="F8" s="43">
        <v>550000</v>
      </c>
      <c r="G8" s="43">
        <v>104500</v>
      </c>
      <c r="H8" s="43">
        <v>654500</v>
      </c>
      <c r="I8" s="4" t="s">
        <v>180</v>
      </c>
    </row>
    <row r="9" spans="1:12">
      <c r="A9" s="40">
        <v>8</v>
      </c>
      <c r="B9" s="41">
        <v>44692</v>
      </c>
      <c r="C9" s="40" t="s">
        <v>188</v>
      </c>
      <c r="D9" s="42" t="s">
        <v>189</v>
      </c>
      <c r="E9" s="42" t="s">
        <v>190</v>
      </c>
      <c r="F9" s="43">
        <v>450000</v>
      </c>
      <c r="G9" s="43">
        <v>85500</v>
      </c>
      <c r="H9" s="43">
        <v>535500</v>
      </c>
      <c r="I9" s="4" t="s">
        <v>180</v>
      </c>
    </row>
    <row r="10" spans="1:12">
      <c r="A10" s="40">
        <v>9</v>
      </c>
      <c r="B10" s="41">
        <v>44692</v>
      </c>
      <c r="C10" s="40" t="s">
        <v>191</v>
      </c>
      <c r="D10" s="42" t="s">
        <v>192</v>
      </c>
      <c r="E10" s="42" t="s">
        <v>88</v>
      </c>
      <c r="F10" s="43">
        <v>124000</v>
      </c>
      <c r="G10" s="43">
        <v>23560</v>
      </c>
      <c r="H10" s="43">
        <v>147560</v>
      </c>
      <c r="I10" s="4" t="s">
        <v>176</v>
      </c>
    </row>
    <row r="11" spans="1:12">
      <c r="A11" s="40">
        <v>10</v>
      </c>
      <c r="B11" s="41">
        <v>44692</v>
      </c>
      <c r="C11" s="40" t="s">
        <v>193</v>
      </c>
      <c r="D11" s="42" t="s">
        <v>194</v>
      </c>
      <c r="E11" s="42" t="s">
        <v>179</v>
      </c>
      <c r="F11" s="43">
        <v>2000000</v>
      </c>
      <c r="G11" s="43">
        <v>380000</v>
      </c>
      <c r="H11" s="43">
        <v>2380000</v>
      </c>
      <c r="I11" s="4" t="s">
        <v>180</v>
      </c>
    </row>
    <row r="12" spans="1:12">
      <c r="A12" s="40">
        <v>12</v>
      </c>
      <c r="B12" s="41">
        <v>44692</v>
      </c>
      <c r="C12" s="40" t="s">
        <v>174</v>
      </c>
      <c r="D12" s="42" t="s">
        <v>175</v>
      </c>
      <c r="E12" s="42" t="s">
        <v>88</v>
      </c>
      <c r="F12" s="43">
        <v>1890000</v>
      </c>
      <c r="G12" s="43">
        <v>359100</v>
      </c>
      <c r="H12" s="43">
        <v>2249100</v>
      </c>
      <c r="I12" s="4" t="s">
        <v>176</v>
      </c>
    </row>
    <row r="13" spans="1:12">
      <c r="A13" s="44">
        <v>14</v>
      </c>
      <c r="B13" s="45">
        <v>44692</v>
      </c>
      <c r="C13" s="44" t="s">
        <v>188</v>
      </c>
      <c r="D13" s="46" t="s">
        <v>189</v>
      </c>
      <c r="E13" s="46" t="s">
        <v>190</v>
      </c>
      <c r="F13" s="47">
        <v>292500</v>
      </c>
      <c r="G13" s="47">
        <v>55575</v>
      </c>
      <c r="H13" s="47">
        <v>348075</v>
      </c>
      <c r="I13" s="3" t="s">
        <v>176</v>
      </c>
    </row>
    <row r="15" spans="1:12">
      <c r="G15" s="60"/>
      <c r="H15" s="60"/>
      <c r="I15" s="79" t="s">
        <v>151</v>
      </c>
      <c r="J15" s="18" t="s">
        <v>195</v>
      </c>
    </row>
    <row r="16" spans="1:12">
      <c r="G16" s="61" t="s">
        <v>196</v>
      </c>
      <c r="H16" s="62"/>
      <c r="I16" s="18">
        <f>COUNTIF(I2:I13,"Impaga")</f>
        <v>5</v>
      </c>
      <c r="J16" s="7">
        <f>SUMIF(I2:I13,"Impaga",H2:H13)</f>
        <v>5236000</v>
      </c>
    </row>
    <row r="17" spans="7:10">
      <c r="G17" s="61" t="s">
        <v>197</v>
      </c>
      <c r="H17" s="62"/>
      <c r="I17" s="18">
        <f>COUNTIF(I2:I13,"Pagada")</f>
        <v>7</v>
      </c>
      <c r="J17" s="7">
        <f>SUMIF(I2:I13,"Pagada",H2:H13)</f>
        <v>6087445</v>
      </c>
    </row>
  </sheetData>
  <mergeCells count="3">
    <mergeCell ref="G15:H15"/>
    <mergeCell ref="G16:H16"/>
    <mergeCell ref="G17:H17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11BC2-AD8C-45CB-B96C-40C708208A12}">
  <dimension ref="B2:I16"/>
  <sheetViews>
    <sheetView workbookViewId="0">
      <selection activeCell="I7" sqref="I7"/>
    </sheetView>
  </sheetViews>
  <sheetFormatPr baseColWidth="10" defaultRowHeight="14.5"/>
  <cols>
    <col min="2" max="2" width="24.36328125" bestFit="1" customWidth="1"/>
  </cols>
  <sheetData>
    <row r="2" spans="2:9">
      <c r="B2" s="35" t="s">
        <v>150</v>
      </c>
      <c r="C2" s="36" t="s">
        <v>94</v>
      </c>
      <c r="D2" s="36" t="s">
        <v>128</v>
      </c>
      <c r="E2" s="36" t="s">
        <v>129</v>
      </c>
      <c r="F2" s="36" t="s">
        <v>95</v>
      </c>
      <c r="H2" s="36" t="s">
        <v>94</v>
      </c>
      <c r="I2" s="36" t="s">
        <v>152</v>
      </c>
    </row>
    <row r="3" spans="2:9">
      <c r="B3" t="s">
        <v>13</v>
      </c>
      <c r="C3" t="s">
        <v>96</v>
      </c>
      <c r="D3" s="5">
        <v>4108792</v>
      </c>
      <c r="E3" s="5">
        <v>3761993</v>
      </c>
      <c r="F3" s="5">
        <f>SUM(D3:E3)</f>
        <v>7870785</v>
      </c>
      <c r="H3" s="16" t="s">
        <v>96</v>
      </c>
      <c r="I3" s="7"/>
    </row>
    <row r="4" spans="2:9">
      <c r="B4" t="s">
        <v>43</v>
      </c>
      <c r="C4" t="s">
        <v>97</v>
      </c>
      <c r="D4" s="5">
        <v>2826258</v>
      </c>
      <c r="E4" s="5">
        <v>5452833</v>
      </c>
      <c r="F4" s="5">
        <f t="shared" ref="F4:F16" si="0">SUM(D4:E4)</f>
        <v>8279091</v>
      </c>
      <c r="H4" s="16" t="s">
        <v>98</v>
      </c>
      <c r="I4" s="7"/>
    </row>
    <row r="5" spans="2:9">
      <c r="B5" t="s">
        <v>25</v>
      </c>
      <c r="C5" t="s">
        <v>96</v>
      </c>
      <c r="D5" s="5">
        <v>7407818</v>
      </c>
      <c r="E5" s="5">
        <v>3157745</v>
      </c>
      <c r="F5" s="5">
        <f t="shared" si="0"/>
        <v>10565563</v>
      </c>
      <c r="H5" s="16" t="s">
        <v>97</v>
      </c>
      <c r="I5" s="7"/>
    </row>
    <row r="6" spans="2:9">
      <c r="B6" t="s">
        <v>46</v>
      </c>
      <c r="C6" t="s">
        <v>96</v>
      </c>
      <c r="D6" s="5">
        <v>4358000</v>
      </c>
      <c r="E6" s="5">
        <v>8426000</v>
      </c>
      <c r="F6" s="5">
        <f t="shared" si="0"/>
        <v>12784000</v>
      </c>
    </row>
    <row r="7" spans="2:9">
      <c r="B7" t="s">
        <v>10</v>
      </c>
      <c r="C7" t="s">
        <v>97</v>
      </c>
      <c r="D7" s="5">
        <v>1130677</v>
      </c>
      <c r="E7" s="5">
        <v>5067890</v>
      </c>
      <c r="F7" s="5">
        <f t="shared" si="0"/>
        <v>6198567</v>
      </c>
    </row>
    <row r="8" spans="2:9">
      <c r="B8" t="s">
        <v>27</v>
      </c>
      <c r="C8" t="s">
        <v>96</v>
      </c>
      <c r="D8" s="5">
        <v>6906087</v>
      </c>
      <c r="E8" s="5">
        <v>3885627</v>
      </c>
      <c r="F8" s="5">
        <f t="shared" si="0"/>
        <v>10791714</v>
      </c>
    </row>
    <row r="9" spans="2:9">
      <c r="B9" t="s">
        <v>23</v>
      </c>
      <c r="C9" t="s">
        <v>98</v>
      </c>
      <c r="D9" s="5">
        <v>1990275</v>
      </c>
      <c r="E9" s="5">
        <v>1632192</v>
      </c>
      <c r="F9" s="5">
        <f t="shared" si="0"/>
        <v>3622467</v>
      </c>
    </row>
    <row r="10" spans="2:9">
      <c r="B10" t="s">
        <v>7</v>
      </c>
      <c r="C10" t="s">
        <v>96</v>
      </c>
      <c r="D10" s="5">
        <v>2345876</v>
      </c>
      <c r="E10" s="5">
        <v>5762571</v>
      </c>
      <c r="F10" s="5">
        <f t="shared" si="0"/>
        <v>8108447</v>
      </c>
    </row>
    <row r="11" spans="2:9">
      <c r="B11" t="s">
        <v>49</v>
      </c>
      <c r="C11" t="s">
        <v>97</v>
      </c>
      <c r="D11" s="5">
        <v>4297000</v>
      </c>
      <c r="E11" s="5">
        <v>10052000</v>
      </c>
      <c r="F11" s="5">
        <f t="shared" si="0"/>
        <v>14349000</v>
      </c>
    </row>
    <row r="12" spans="2:9">
      <c r="B12" t="s">
        <v>99</v>
      </c>
      <c r="C12" t="s">
        <v>98</v>
      </c>
      <c r="D12" s="5">
        <v>5000000</v>
      </c>
      <c r="E12" s="5">
        <v>4470000</v>
      </c>
      <c r="F12" s="5">
        <f t="shared" si="0"/>
        <v>9470000</v>
      </c>
    </row>
    <row r="13" spans="2:9">
      <c r="B13" t="s">
        <v>19</v>
      </c>
      <c r="C13" t="s">
        <v>96</v>
      </c>
      <c r="D13" s="5">
        <v>8731335</v>
      </c>
      <c r="E13" s="5">
        <v>2453000</v>
      </c>
      <c r="F13" s="5">
        <f t="shared" si="0"/>
        <v>11184335</v>
      </c>
    </row>
    <row r="14" spans="2:9">
      <c r="B14" t="s">
        <v>145</v>
      </c>
      <c r="C14" t="s">
        <v>98</v>
      </c>
      <c r="D14" s="5">
        <v>5877136</v>
      </c>
      <c r="E14" s="5">
        <v>4488758</v>
      </c>
      <c r="F14" s="5">
        <f t="shared" si="0"/>
        <v>10365894</v>
      </c>
    </row>
    <row r="15" spans="2:9">
      <c r="B15" t="s">
        <v>147</v>
      </c>
      <c r="C15" t="s">
        <v>96</v>
      </c>
      <c r="D15" s="5">
        <v>1544000</v>
      </c>
      <c r="E15" s="5">
        <v>8152991</v>
      </c>
      <c r="F15" s="5">
        <f t="shared" si="0"/>
        <v>9696991</v>
      </c>
    </row>
    <row r="16" spans="2:9">
      <c r="B16" s="2" t="s">
        <v>149</v>
      </c>
      <c r="C16" s="2" t="s">
        <v>97</v>
      </c>
      <c r="D16" s="6">
        <v>1557269</v>
      </c>
      <c r="E16" s="6">
        <v>7749360</v>
      </c>
      <c r="F16" s="6">
        <f t="shared" si="0"/>
        <v>9306629</v>
      </c>
    </row>
  </sheetData>
  <dataValidations count="1">
    <dataValidation type="list" allowBlank="1" showInputMessage="1" showErrorMessage="1" sqref="H13" xr:uid="{45C7A6F4-4E4B-45D3-A68A-8649960723FE}">
      <formula1>"Norte,Centro,Sur"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FBD3B-46FD-4765-9CB9-BCFF56F28EE2}">
  <dimension ref="B2:I40"/>
  <sheetViews>
    <sheetView workbookViewId="0">
      <selection activeCell="I10" sqref="I10"/>
    </sheetView>
  </sheetViews>
  <sheetFormatPr baseColWidth="10" defaultRowHeight="14.5"/>
  <cols>
    <col min="1" max="1" width="3" customWidth="1"/>
    <col min="2" max="2" width="13.26953125" customWidth="1"/>
    <col min="3" max="3" width="23.36328125" customWidth="1"/>
    <col min="4" max="4" width="28.7265625" customWidth="1"/>
    <col min="6" max="6" width="6.1796875" customWidth="1"/>
    <col min="7" max="7" width="18.1796875" customWidth="1"/>
    <col min="8" max="8" width="27.90625" customWidth="1"/>
    <col min="9" max="9" width="14.7265625" customWidth="1"/>
  </cols>
  <sheetData>
    <row r="2" spans="2:9" ht="15.75" customHeight="1">
      <c r="B2" s="19" t="s">
        <v>53</v>
      </c>
      <c r="C2" s="20" t="s">
        <v>3</v>
      </c>
      <c r="D2" s="20" t="s">
        <v>54</v>
      </c>
      <c r="E2" s="21" t="s">
        <v>55</v>
      </c>
      <c r="F2" s="37">
        <v>1</v>
      </c>
      <c r="G2" s="19" t="s">
        <v>53</v>
      </c>
      <c r="H2" s="4" t="s">
        <v>71</v>
      </c>
      <c r="I2" s="37" t="s">
        <v>212</v>
      </c>
    </row>
    <row r="3" spans="2:9" ht="15.75" customHeight="1">
      <c r="B3" s="4" t="s">
        <v>56</v>
      </c>
      <c r="C3" t="s">
        <v>57</v>
      </c>
      <c r="D3" t="s">
        <v>58</v>
      </c>
      <c r="E3" s="5">
        <v>750000</v>
      </c>
    </row>
    <row r="4" spans="2:9" ht="15.75" customHeight="1">
      <c r="B4" s="4" t="s">
        <v>59</v>
      </c>
      <c r="C4" t="s">
        <v>60</v>
      </c>
      <c r="D4" t="s">
        <v>90</v>
      </c>
      <c r="E4" s="5">
        <v>850000</v>
      </c>
      <c r="G4" s="24" t="s">
        <v>3</v>
      </c>
      <c r="H4" t="str">
        <f>VLOOKUP($H$2,$B$3:$E$14,2,0)</f>
        <v>Cecilia Cornejo Salinas</v>
      </c>
    </row>
    <row r="5" spans="2:9" ht="15.75" customHeight="1">
      <c r="B5" s="4" t="s">
        <v>61</v>
      </c>
      <c r="C5" t="s">
        <v>62</v>
      </c>
      <c r="D5" t="s">
        <v>63</v>
      </c>
      <c r="E5" s="5">
        <v>650000</v>
      </c>
      <c r="G5" s="24" t="s">
        <v>54</v>
      </c>
      <c r="H5" t="str">
        <f>VLOOKUP($H$2,$B$3:$E$14,3,0)</f>
        <v>Obispo Salas 0245, Of. 441</v>
      </c>
    </row>
    <row r="6" spans="2:9" ht="15.75" customHeight="1">
      <c r="B6" s="4" t="s">
        <v>64</v>
      </c>
      <c r="C6" t="s">
        <v>65</v>
      </c>
      <c r="D6" t="s">
        <v>91</v>
      </c>
      <c r="E6" s="5">
        <v>500000</v>
      </c>
      <c r="G6" s="25" t="s">
        <v>55</v>
      </c>
      <c r="H6" s="5">
        <f>VLOOKUP($H$2,$B$3:$E$14,4,0)</f>
        <v>550000</v>
      </c>
    </row>
    <row r="7" spans="2:9" ht="15.75" customHeight="1">
      <c r="B7" s="4" t="s">
        <v>66</v>
      </c>
      <c r="C7" t="s">
        <v>67</v>
      </c>
      <c r="D7" t="s">
        <v>68</v>
      </c>
      <c r="E7" s="5">
        <v>680000</v>
      </c>
      <c r="H7" s="5"/>
    </row>
    <row r="8" spans="2:9" ht="15.75" customHeight="1">
      <c r="B8" s="4" t="s">
        <v>69</v>
      </c>
      <c r="C8" t="s">
        <v>70</v>
      </c>
      <c r="D8" t="s">
        <v>92</v>
      </c>
      <c r="E8" s="5">
        <v>760000</v>
      </c>
      <c r="G8" s="30" t="s">
        <v>102</v>
      </c>
      <c r="H8" s="5">
        <f>H6*13.75%</f>
        <v>75625</v>
      </c>
    </row>
    <row r="9" spans="2:9" ht="15.75" customHeight="1">
      <c r="B9" s="4" t="s">
        <v>71</v>
      </c>
      <c r="C9" t="s">
        <v>72</v>
      </c>
      <c r="D9" t="s">
        <v>73</v>
      </c>
      <c r="E9" s="5">
        <v>550000</v>
      </c>
    </row>
    <row r="10" spans="2:9" ht="15.75" customHeight="1">
      <c r="B10" s="4" t="s">
        <v>74</v>
      </c>
      <c r="C10" t="s">
        <v>75</v>
      </c>
      <c r="D10" t="s">
        <v>76</v>
      </c>
      <c r="E10" s="5">
        <v>450000</v>
      </c>
      <c r="F10" s="37">
        <v>2</v>
      </c>
      <c r="G10" s="19" t="s">
        <v>53</v>
      </c>
      <c r="H10" s="4" t="s">
        <v>66</v>
      </c>
      <c r="I10" s="37" t="s">
        <v>213</v>
      </c>
    </row>
    <row r="11" spans="2:9" ht="15.75" customHeight="1">
      <c r="B11" s="4" t="s">
        <v>77</v>
      </c>
      <c r="C11" t="s">
        <v>78</v>
      </c>
      <c r="D11" t="s">
        <v>79</v>
      </c>
      <c r="E11" s="5">
        <v>880000</v>
      </c>
    </row>
    <row r="12" spans="2:9" ht="15.75" customHeight="1">
      <c r="B12" s="4" t="s">
        <v>80</v>
      </c>
      <c r="C12" t="s">
        <v>81</v>
      </c>
      <c r="D12" t="s">
        <v>103</v>
      </c>
      <c r="E12" s="5">
        <v>770000</v>
      </c>
      <c r="G12" s="24" t="s">
        <v>3</v>
      </c>
      <c r="H12" t="str">
        <f>IFERROR(VLOOKUP(H10,B3:E14,2,0),"No Existe")</f>
        <v>Guillermo Cáceres Fuentes</v>
      </c>
    </row>
    <row r="13" spans="2:9" ht="15.75" customHeight="1">
      <c r="B13" s="4" t="s">
        <v>82</v>
      </c>
      <c r="C13" t="s">
        <v>83</v>
      </c>
      <c r="D13" t="s">
        <v>84</v>
      </c>
      <c r="E13" s="5">
        <v>650000</v>
      </c>
      <c r="G13" s="24" t="s">
        <v>54</v>
      </c>
    </row>
    <row r="14" spans="2:9" ht="15.75" customHeight="1">
      <c r="B14" s="3" t="s">
        <v>85</v>
      </c>
      <c r="C14" s="2" t="s">
        <v>86</v>
      </c>
      <c r="D14" s="2" t="s">
        <v>104</v>
      </c>
      <c r="E14" s="6">
        <v>400000</v>
      </c>
      <c r="G14" s="25" t="s">
        <v>55</v>
      </c>
      <c r="H14" s="5">
        <f>IFERROR(VLOOKUP(H10,B3:E14,4,0),0)</f>
        <v>680000</v>
      </c>
    </row>
    <row r="15" spans="2:9">
      <c r="H15" s="5"/>
    </row>
    <row r="16" spans="2:9">
      <c r="G16" s="30" t="s">
        <v>102</v>
      </c>
      <c r="H16" s="5">
        <f>H14*13.75%</f>
        <v>93500.000000000015</v>
      </c>
    </row>
    <row r="36" spans="3:3" ht="15.75" customHeight="1">
      <c r="C36" t="e">
        <f>#REF! &amp; " " &amp;#REF!&amp;" " &amp;#REF!</f>
        <v>#REF!</v>
      </c>
    </row>
    <row r="37" spans="3:3" ht="15.75" customHeight="1">
      <c r="C37" t="e">
        <f>#REF! &amp; " " &amp;#REF!&amp;" " &amp;#REF!</f>
        <v>#REF!</v>
      </c>
    </row>
    <row r="38" spans="3:3" ht="15.75" customHeight="1">
      <c r="C38" t="e">
        <f>#REF! &amp; " " &amp;#REF!&amp;" " &amp;#REF!</f>
        <v>#REF!</v>
      </c>
    </row>
    <row r="39" spans="3:3" ht="15.75" customHeight="1">
      <c r="C39" t="e">
        <f>#REF! &amp; " " &amp;#REF!&amp;" " &amp;#REF!</f>
        <v>#REF!</v>
      </c>
    </row>
    <row r="40" spans="3:3" ht="15.75" customHeight="1">
      <c r="C40" t="e">
        <f>#REF! &amp; " " &amp;#REF!&amp;" " &amp;#REF!</f>
        <v>#REF!</v>
      </c>
    </row>
  </sheetData>
  <dataValidations count="1">
    <dataValidation type="list" allowBlank="1" showInputMessage="1" showErrorMessage="1" sqref="H2" xr:uid="{BC45EC7F-397E-412D-AA21-7C3A714A6687}">
      <formula1>$B$3:$B$14</formula1>
    </dataValidation>
  </dataValidation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25A70-BF88-4B26-A9DE-9E10F688C6B0}">
  <dimension ref="B2:O16"/>
  <sheetViews>
    <sheetView workbookViewId="0">
      <selection activeCell="K3" sqref="K3"/>
    </sheetView>
  </sheetViews>
  <sheetFormatPr baseColWidth="10" defaultRowHeight="14.5"/>
  <cols>
    <col min="1" max="1" width="2.453125" customWidth="1"/>
    <col min="2" max="2" width="27.36328125" customWidth="1"/>
    <col min="7" max="7" width="11.08984375" customWidth="1"/>
    <col min="8" max="8" width="12" customWidth="1"/>
    <col min="9" max="9" width="3" customWidth="1"/>
    <col min="10" max="10" width="11.7265625" customWidth="1"/>
    <col min="12" max="12" width="7.54296875" customWidth="1"/>
    <col min="14" max="14" width="12.36328125" customWidth="1"/>
    <col min="15" max="15" width="13.1796875" customWidth="1"/>
  </cols>
  <sheetData>
    <row r="2" spans="2:15">
      <c r="B2" s="35" t="s">
        <v>150</v>
      </c>
      <c r="C2" s="36" t="s">
        <v>94</v>
      </c>
      <c r="D2" s="36" t="s">
        <v>155</v>
      </c>
      <c r="E2" s="36" t="s">
        <v>128</v>
      </c>
      <c r="F2" s="36" t="s">
        <v>129</v>
      </c>
      <c r="G2" s="36" t="s">
        <v>95</v>
      </c>
      <c r="H2" s="36" t="s">
        <v>156</v>
      </c>
      <c r="J2" s="36" t="s">
        <v>94</v>
      </c>
      <c r="K2" s="36" t="s">
        <v>155</v>
      </c>
      <c r="L2" s="36" t="s">
        <v>151</v>
      </c>
      <c r="M2" s="36" t="s">
        <v>52</v>
      </c>
      <c r="N2" s="36" t="s">
        <v>157</v>
      </c>
      <c r="O2" s="36" t="s">
        <v>158</v>
      </c>
    </row>
    <row r="3" spans="2:15">
      <c r="B3" t="s">
        <v>13</v>
      </c>
      <c r="C3" t="s">
        <v>96</v>
      </c>
      <c r="D3" t="s">
        <v>159</v>
      </c>
      <c r="E3" s="5">
        <v>4108792</v>
      </c>
      <c r="F3" s="5">
        <v>3761993</v>
      </c>
      <c r="G3" s="5">
        <f>SUM(E3:F3)</f>
        <v>7870785</v>
      </c>
      <c r="H3" s="5">
        <f>G3*4%</f>
        <v>314831.40000000002</v>
      </c>
      <c r="J3" t="s">
        <v>96</v>
      </c>
      <c r="K3" t="s">
        <v>162</v>
      </c>
      <c r="L3" s="4"/>
      <c r="M3" s="5"/>
      <c r="N3" s="5"/>
      <c r="O3" s="5"/>
    </row>
    <row r="4" spans="2:15">
      <c r="B4" t="s">
        <v>43</v>
      </c>
      <c r="C4" t="s">
        <v>97</v>
      </c>
      <c r="D4" t="s">
        <v>161</v>
      </c>
      <c r="E4" s="5">
        <v>2826258</v>
      </c>
      <c r="F4" s="5">
        <v>5452833</v>
      </c>
      <c r="G4" s="5">
        <f t="shared" ref="G4:G16" si="0">SUM(E4:F4)</f>
        <v>8279091</v>
      </c>
      <c r="H4" s="5">
        <f t="shared" ref="H4:H16" si="1">G4*4%</f>
        <v>331163.64</v>
      </c>
    </row>
    <row r="5" spans="2:15">
      <c r="B5" t="s">
        <v>25</v>
      </c>
      <c r="C5" t="s">
        <v>96</v>
      </c>
      <c r="D5" t="s">
        <v>162</v>
      </c>
      <c r="E5" s="5">
        <v>7407818</v>
      </c>
      <c r="F5" s="5">
        <v>3157745</v>
      </c>
      <c r="G5" s="5">
        <f t="shared" si="0"/>
        <v>10565563</v>
      </c>
      <c r="H5" s="5">
        <f t="shared" si="1"/>
        <v>422622.52</v>
      </c>
      <c r="J5" s="36" t="s">
        <v>94</v>
      </c>
      <c r="K5" t="s">
        <v>163</v>
      </c>
      <c r="L5" s="36" t="s">
        <v>151</v>
      </c>
      <c r="M5" s="36" t="s">
        <v>152</v>
      </c>
    </row>
    <row r="6" spans="2:15" ht="15" thickBot="1">
      <c r="B6" t="s">
        <v>46</v>
      </c>
      <c r="C6" t="s">
        <v>96</v>
      </c>
      <c r="D6" t="s">
        <v>164</v>
      </c>
      <c r="E6" s="5">
        <v>4358000</v>
      </c>
      <c r="F6" s="5">
        <v>8426000</v>
      </c>
      <c r="G6" s="5">
        <f t="shared" si="0"/>
        <v>12784000</v>
      </c>
      <c r="H6" s="5">
        <f t="shared" si="1"/>
        <v>511360</v>
      </c>
      <c r="J6" t="s">
        <v>96</v>
      </c>
      <c r="L6" s="38"/>
      <c r="M6" s="15"/>
    </row>
    <row r="7" spans="2:15" ht="15" thickTop="1">
      <c r="B7" t="s">
        <v>10</v>
      </c>
      <c r="C7" t="s">
        <v>97</v>
      </c>
      <c r="D7" t="s">
        <v>161</v>
      </c>
      <c r="E7" s="5">
        <v>1130677</v>
      </c>
      <c r="F7" s="5">
        <v>5067890</v>
      </c>
      <c r="G7" s="5">
        <f t="shared" si="0"/>
        <v>6198567</v>
      </c>
      <c r="H7" s="5">
        <f t="shared" si="1"/>
        <v>247942.68</v>
      </c>
    </row>
    <row r="8" spans="2:15">
      <c r="B8" t="s">
        <v>27</v>
      </c>
      <c r="C8" t="s">
        <v>96</v>
      </c>
      <c r="D8" t="s">
        <v>162</v>
      </c>
      <c r="E8" s="5">
        <v>6906087</v>
      </c>
      <c r="F8" s="5">
        <v>3885627</v>
      </c>
      <c r="G8" s="5">
        <f t="shared" si="0"/>
        <v>10791714</v>
      </c>
      <c r="H8" s="5">
        <f t="shared" si="1"/>
        <v>431668.56</v>
      </c>
      <c r="J8" t="s">
        <v>165</v>
      </c>
      <c r="K8" s="5">
        <v>7000000</v>
      </c>
    </row>
    <row r="9" spans="2:15">
      <c r="B9" t="s">
        <v>23</v>
      </c>
      <c r="C9" t="s">
        <v>98</v>
      </c>
      <c r="D9" t="s">
        <v>166</v>
      </c>
      <c r="E9" s="5">
        <v>1990275</v>
      </c>
      <c r="F9" s="5">
        <v>1632192</v>
      </c>
      <c r="G9" s="5">
        <f t="shared" si="0"/>
        <v>3622467</v>
      </c>
      <c r="H9" s="5">
        <f t="shared" si="1"/>
        <v>144898.68</v>
      </c>
      <c r="J9" t="s">
        <v>167</v>
      </c>
      <c r="K9" s="5">
        <v>15000000</v>
      </c>
    </row>
    <row r="10" spans="2:15">
      <c r="B10" t="s">
        <v>7</v>
      </c>
      <c r="C10" t="s">
        <v>96</v>
      </c>
      <c r="D10" t="s">
        <v>159</v>
      </c>
      <c r="E10" s="5">
        <v>2345876</v>
      </c>
      <c r="F10" s="5">
        <v>5762571</v>
      </c>
      <c r="G10" s="5">
        <f t="shared" si="0"/>
        <v>8108447</v>
      </c>
      <c r="H10" s="5">
        <f t="shared" si="1"/>
        <v>324337.88</v>
      </c>
    </row>
    <row r="11" spans="2:15">
      <c r="B11" t="s">
        <v>49</v>
      </c>
      <c r="C11" t="s">
        <v>97</v>
      </c>
      <c r="D11" t="s">
        <v>161</v>
      </c>
      <c r="E11" s="5">
        <v>4297000</v>
      </c>
      <c r="F11" s="5">
        <v>10052000</v>
      </c>
      <c r="G11" s="5">
        <f t="shared" si="0"/>
        <v>14349000</v>
      </c>
      <c r="H11" s="5">
        <f t="shared" si="1"/>
        <v>573960</v>
      </c>
    </row>
    <row r="12" spans="2:15">
      <c r="B12" t="s">
        <v>99</v>
      </c>
      <c r="C12" t="s">
        <v>98</v>
      </c>
      <c r="D12" t="s">
        <v>166</v>
      </c>
      <c r="E12" s="5">
        <v>5000000</v>
      </c>
      <c r="F12" s="5">
        <v>4470000</v>
      </c>
      <c r="G12" s="5">
        <f t="shared" si="0"/>
        <v>9470000</v>
      </c>
      <c r="H12" s="5">
        <f t="shared" si="1"/>
        <v>378800</v>
      </c>
    </row>
    <row r="13" spans="2:15">
      <c r="B13" t="s">
        <v>19</v>
      </c>
      <c r="C13" t="s">
        <v>96</v>
      </c>
      <c r="D13" t="s">
        <v>159</v>
      </c>
      <c r="E13" s="5">
        <v>8731335</v>
      </c>
      <c r="F13" s="5">
        <v>2453000</v>
      </c>
      <c r="G13" s="5">
        <f t="shared" si="0"/>
        <v>11184335</v>
      </c>
      <c r="H13" s="5">
        <f t="shared" si="1"/>
        <v>447373.4</v>
      </c>
    </row>
    <row r="14" spans="2:15">
      <c r="B14" t="s">
        <v>145</v>
      </c>
      <c r="C14" t="s">
        <v>98</v>
      </c>
      <c r="D14" t="s">
        <v>166</v>
      </c>
      <c r="E14" s="5">
        <v>5877136</v>
      </c>
      <c r="F14" s="5">
        <v>4488758</v>
      </c>
      <c r="G14" s="5">
        <f t="shared" si="0"/>
        <v>10365894</v>
      </c>
      <c r="H14" s="5">
        <f t="shared" si="1"/>
        <v>414635.76</v>
      </c>
    </row>
    <row r="15" spans="2:15">
      <c r="B15" t="s">
        <v>147</v>
      </c>
      <c r="C15" t="s">
        <v>96</v>
      </c>
      <c r="D15" t="s">
        <v>164</v>
      </c>
      <c r="E15" s="5">
        <v>1544000</v>
      </c>
      <c r="F15" s="5">
        <v>8152991</v>
      </c>
      <c r="G15" s="5">
        <f t="shared" si="0"/>
        <v>9696991</v>
      </c>
      <c r="H15" s="5">
        <f t="shared" si="1"/>
        <v>387879.64</v>
      </c>
    </row>
    <row r="16" spans="2:15">
      <c r="B16" s="2" t="s">
        <v>149</v>
      </c>
      <c r="C16" s="2" t="s">
        <v>97</v>
      </c>
      <c r="D16" s="2" t="s">
        <v>160</v>
      </c>
      <c r="E16" s="6">
        <v>1557269</v>
      </c>
      <c r="F16" s="6">
        <v>7749360</v>
      </c>
      <c r="G16" s="6">
        <f t="shared" si="0"/>
        <v>9306629</v>
      </c>
      <c r="H16" s="6">
        <f t="shared" si="1"/>
        <v>372265.16000000003</v>
      </c>
    </row>
  </sheetData>
  <dataValidations count="2">
    <dataValidation type="list" allowBlank="1" showInputMessage="1" showErrorMessage="1" sqref="K3" xr:uid="{8490D792-1BDF-4E23-B7B4-CED7AF9BC71B}">
      <formula1>"Arica,Iquique,Antofagasta,Santiago,Temuco,Valdivia"</formula1>
    </dataValidation>
    <dataValidation type="list" allowBlank="1" showInputMessage="1" showErrorMessage="1" sqref="J3 J6" xr:uid="{CF701D8A-2B30-47BE-81DA-B5247FF55658}">
      <formula1>"Norte,Centro,Sur"</formula1>
    </dataValidation>
  </dataValidation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47277-BD9A-4E6C-A3C3-34B2A07316A4}">
  <dimension ref="A2:M16"/>
  <sheetViews>
    <sheetView workbookViewId="0">
      <selection activeCell="J15" sqref="J15"/>
    </sheetView>
  </sheetViews>
  <sheetFormatPr baseColWidth="10" defaultColWidth="11.453125" defaultRowHeight="14.5"/>
  <cols>
    <col min="1" max="1" width="5.81640625" customWidth="1"/>
    <col min="2" max="2" width="13.54296875" customWidth="1"/>
    <col min="3" max="3" width="23" bestFit="1" customWidth="1"/>
    <col min="4" max="4" width="12.26953125" customWidth="1"/>
    <col min="5" max="5" width="13.08984375" customWidth="1"/>
    <col min="6" max="6" width="13.1796875" customWidth="1"/>
    <col min="7" max="7" width="14.90625" customWidth="1"/>
    <col min="9" max="9" width="3.36328125" customWidth="1"/>
    <col min="10" max="10" width="4.453125" customWidth="1"/>
    <col min="11" max="11" width="4.08984375" customWidth="1"/>
    <col min="12" max="12" width="9.90625" customWidth="1"/>
  </cols>
  <sheetData>
    <row r="2" spans="1:13">
      <c r="A2" s="37">
        <v>1</v>
      </c>
      <c r="B2" s="48" t="s">
        <v>2</v>
      </c>
      <c r="C2" s="49" t="s">
        <v>3</v>
      </c>
      <c r="D2" s="49" t="s">
        <v>198</v>
      </c>
      <c r="E2" s="50" t="s">
        <v>199</v>
      </c>
      <c r="M2" s="16" t="b">
        <v>1</v>
      </c>
    </row>
    <row r="3" spans="1:13">
      <c r="B3" s="9" t="s">
        <v>6</v>
      </c>
      <c r="C3" t="s">
        <v>7</v>
      </c>
      <c r="D3" s="1">
        <v>5.5</v>
      </c>
      <c r="E3" s="51"/>
      <c r="G3" s="63" t="s">
        <v>200</v>
      </c>
      <c r="H3" s="63"/>
      <c r="I3" s="63"/>
    </row>
    <row r="4" spans="1:13">
      <c r="B4" s="9" t="s">
        <v>9</v>
      </c>
      <c r="C4" t="s">
        <v>10</v>
      </c>
      <c r="D4" s="1">
        <v>4</v>
      </c>
      <c r="E4" s="51"/>
      <c r="G4" s="63"/>
      <c r="H4" s="63"/>
      <c r="I4" s="63"/>
    </row>
    <row r="5" spans="1:13">
      <c r="B5" s="9" t="s">
        <v>42</v>
      </c>
      <c r="C5" t="s">
        <v>43</v>
      </c>
      <c r="D5" s="1">
        <v>3</v>
      </c>
      <c r="E5" s="51"/>
      <c r="M5" s="16" t="b">
        <v>0</v>
      </c>
    </row>
    <row r="6" spans="1:13">
      <c r="B6" s="9" t="s">
        <v>119</v>
      </c>
      <c r="C6" t="s">
        <v>46</v>
      </c>
      <c r="D6" s="1">
        <v>2</v>
      </c>
      <c r="E6" s="51"/>
    </row>
    <row r="7" spans="1:13">
      <c r="B7" s="10" t="s">
        <v>116</v>
      </c>
      <c r="C7" s="2" t="s">
        <v>117</v>
      </c>
      <c r="D7" s="52">
        <v>5</v>
      </c>
      <c r="E7" s="53"/>
    </row>
    <row r="11" spans="1:13">
      <c r="A11" s="37">
        <v>2</v>
      </c>
      <c r="B11" s="48" t="s">
        <v>2</v>
      </c>
      <c r="C11" s="49" t="s">
        <v>3</v>
      </c>
      <c r="D11" s="49" t="s">
        <v>201</v>
      </c>
      <c r="E11" s="49" t="s">
        <v>34</v>
      </c>
      <c r="F11" s="49" t="s">
        <v>202</v>
      </c>
      <c r="G11" s="49" t="s">
        <v>203</v>
      </c>
      <c r="H11" s="50" t="s">
        <v>195</v>
      </c>
      <c r="L11" s="48" t="s">
        <v>201</v>
      </c>
      <c r="M11" s="50" t="s">
        <v>204</v>
      </c>
    </row>
    <row r="12" spans="1:13">
      <c r="B12" s="31" t="s">
        <v>6</v>
      </c>
      <c r="C12" t="s">
        <v>7</v>
      </c>
      <c r="D12" t="s">
        <v>205</v>
      </c>
      <c r="E12" s="54">
        <v>560000</v>
      </c>
      <c r="F12" s="5"/>
      <c r="G12" s="5"/>
      <c r="H12" s="5"/>
      <c r="L12" s="16" t="s">
        <v>205</v>
      </c>
      <c r="M12" s="55">
        <v>11</v>
      </c>
    </row>
    <row r="13" spans="1:13">
      <c r="B13" s="31" t="s">
        <v>9</v>
      </c>
      <c r="C13" t="s">
        <v>10</v>
      </c>
      <c r="D13" t="s">
        <v>206</v>
      </c>
      <c r="E13" s="5">
        <v>590000</v>
      </c>
      <c r="F13" s="5"/>
      <c r="G13" s="5"/>
      <c r="H13" s="5"/>
      <c r="L13" s="16" t="s">
        <v>206</v>
      </c>
      <c r="M13" s="55">
        <v>8.5</v>
      </c>
    </row>
    <row r="14" spans="1:13">
      <c r="B14" s="31" t="s">
        <v>42</v>
      </c>
      <c r="C14" t="s">
        <v>43</v>
      </c>
      <c r="D14" t="s">
        <v>205</v>
      </c>
      <c r="E14" s="54">
        <v>560000</v>
      </c>
      <c r="F14" s="5"/>
      <c r="G14" s="5"/>
      <c r="H14" s="5"/>
    </row>
    <row r="15" spans="1:13">
      <c r="B15" s="31" t="s">
        <v>119</v>
      </c>
      <c r="C15" t="s">
        <v>46</v>
      </c>
      <c r="D15" t="s">
        <v>206</v>
      </c>
      <c r="E15" s="5">
        <v>590000</v>
      </c>
      <c r="F15" s="5"/>
      <c r="G15" s="5"/>
      <c r="H15" s="5"/>
    </row>
    <row r="16" spans="1:13">
      <c r="B16" s="56" t="s">
        <v>116</v>
      </c>
      <c r="C16" s="2" t="s">
        <v>117</v>
      </c>
      <c r="D16" s="2" t="s">
        <v>205</v>
      </c>
      <c r="E16" s="57">
        <v>560000</v>
      </c>
      <c r="F16" s="6"/>
      <c r="G16" s="6"/>
      <c r="H16" s="6"/>
    </row>
  </sheetData>
  <mergeCells count="1">
    <mergeCell ref="G3:I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7D1E5-01EE-43F6-B982-D4A02CC3F663}">
  <dimension ref="B1:L19"/>
  <sheetViews>
    <sheetView workbookViewId="0">
      <selection activeCell="G9" sqref="G9"/>
    </sheetView>
  </sheetViews>
  <sheetFormatPr baseColWidth="10" defaultColWidth="11.453125" defaultRowHeight="14.5"/>
  <cols>
    <col min="1" max="1" width="3.54296875" customWidth="1"/>
    <col min="2" max="2" width="27.81640625" customWidth="1"/>
    <col min="3" max="3" width="7.90625" customWidth="1"/>
    <col min="6" max="6" width="13.7265625" customWidth="1"/>
    <col min="7" max="7" width="13.81640625" customWidth="1"/>
    <col min="8" max="8" width="14.1796875" customWidth="1"/>
    <col min="9" max="9" width="7.54296875" customWidth="1"/>
    <col min="11" max="11" width="11.81640625" bestFit="1" customWidth="1"/>
  </cols>
  <sheetData>
    <row r="1" spans="2:12">
      <c r="K1" s="26" t="s">
        <v>94</v>
      </c>
      <c r="L1" s="26" t="s">
        <v>207</v>
      </c>
    </row>
    <row r="2" spans="2:12">
      <c r="G2" s="4"/>
      <c r="K2" s="16" t="s">
        <v>96</v>
      </c>
      <c r="L2" s="17">
        <v>0.125</v>
      </c>
    </row>
    <row r="3" spans="2:12">
      <c r="B3" s="35" t="s">
        <v>208</v>
      </c>
      <c r="C3" s="36" t="s">
        <v>94</v>
      </c>
      <c r="D3" s="36" t="s">
        <v>128</v>
      </c>
      <c r="E3" s="36" t="s">
        <v>129</v>
      </c>
      <c r="F3" s="36" t="s">
        <v>52</v>
      </c>
      <c r="G3" s="36" t="s">
        <v>209</v>
      </c>
      <c r="H3" s="36" t="s">
        <v>210</v>
      </c>
      <c r="K3" s="16" t="s">
        <v>97</v>
      </c>
      <c r="L3" s="17">
        <v>0.13400000000000001</v>
      </c>
    </row>
    <row r="4" spans="2:12">
      <c r="B4" t="s">
        <v>13</v>
      </c>
      <c r="C4" t="s">
        <v>96</v>
      </c>
      <c r="D4" s="5">
        <v>1800000</v>
      </c>
      <c r="E4" s="5">
        <v>1761993</v>
      </c>
      <c r="F4" s="5">
        <f>SUM(D4:E4)</f>
        <v>3561993</v>
      </c>
      <c r="G4" s="5"/>
      <c r="H4" s="5"/>
      <c r="K4" s="16" t="s">
        <v>98</v>
      </c>
      <c r="L4" s="17">
        <v>0.11550000000000001</v>
      </c>
    </row>
    <row r="5" spans="2:12">
      <c r="B5" t="s">
        <v>43</v>
      </c>
      <c r="C5" t="s">
        <v>97</v>
      </c>
      <c r="D5" s="5">
        <v>1450000</v>
      </c>
      <c r="E5" s="5">
        <v>1452833</v>
      </c>
      <c r="F5" s="5">
        <f t="shared" ref="F5:F17" si="0">SUM(D5:E5)</f>
        <v>2902833</v>
      </c>
      <c r="G5" s="5"/>
      <c r="H5" s="5"/>
    </row>
    <row r="6" spans="2:12">
      <c r="B6" t="s">
        <v>25</v>
      </c>
      <c r="C6" t="s">
        <v>96</v>
      </c>
      <c r="D6" s="5">
        <v>1407818</v>
      </c>
      <c r="E6" s="5">
        <v>1157745</v>
      </c>
      <c r="F6" s="5">
        <f t="shared" si="0"/>
        <v>2565563</v>
      </c>
      <c r="G6" s="5"/>
      <c r="H6" s="5"/>
    </row>
    <row r="7" spans="2:12">
      <c r="B7" t="s">
        <v>46</v>
      </c>
      <c r="C7" t="s">
        <v>97</v>
      </c>
      <c r="D7" s="5">
        <v>1358328</v>
      </c>
      <c r="E7" s="5">
        <v>1426105</v>
      </c>
      <c r="F7" s="5">
        <f t="shared" si="0"/>
        <v>2784433</v>
      </c>
      <c r="G7" s="5"/>
      <c r="H7" s="5"/>
    </row>
    <row r="8" spans="2:12">
      <c r="B8" t="s">
        <v>10</v>
      </c>
      <c r="C8" t="s">
        <v>97</v>
      </c>
      <c r="D8" s="5">
        <v>1130123</v>
      </c>
      <c r="E8" s="5">
        <v>1067634</v>
      </c>
      <c r="F8" s="5">
        <f t="shared" si="0"/>
        <v>2197757</v>
      </c>
      <c r="G8" s="5"/>
      <c r="H8" s="5"/>
    </row>
    <row r="9" spans="2:12">
      <c r="B9" t="s">
        <v>27</v>
      </c>
      <c r="C9" t="s">
        <v>138</v>
      </c>
      <c r="D9" s="5">
        <v>1497557</v>
      </c>
      <c r="E9" s="5">
        <v>1052172</v>
      </c>
      <c r="F9" s="5">
        <f t="shared" si="0"/>
        <v>2549729</v>
      </c>
      <c r="G9" s="5"/>
      <c r="H9" s="5"/>
    </row>
    <row r="10" spans="2:12">
      <c r="B10" t="s">
        <v>23</v>
      </c>
      <c r="C10" t="s">
        <v>98</v>
      </c>
      <c r="D10" s="5">
        <v>1195385</v>
      </c>
      <c r="E10" s="5">
        <v>1470321</v>
      </c>
      <c r="F10" s="5">
        <f t="shared" si="0"/>
        <v>2665706</v>
      </c>
      <c r="G10" s="5"/>
      <c r="H10" s="5"/>
    </row>
    <row r="11" spans="2:12">
      <c r="B11" t="s">
        <v>7</v>
      </c>
      <c r="C11" t="s">
        <v>96</v>
      </c>
      <c r="D11" s="5">
        <v>1731335</v>
      </c>
      <c r="E11" s="5">
        <v>1124654</v>
      </c>
      <c r="F11" s="5">
        <f t="shared" si="0"/>
        <v>2855989</v>
      </c>
      <c r="G11" s="5"/>
      <c r="H11" s="5"/>
    </row>
    <row r="12" spans="2:12">
      <c r="B12" t="s">
        <v>49</v>
      </c>
      <c r="C12" t="s">
        <v>97</v>
      </c>
      <c r="D12" s="5">
        <v>1877136</v>
      </c>
      <c r="E12" s="5">
        <v>1488758</v>
      </c>
      <c r="F12" s="5">
        <f t="shared" si="0"/>
        <v>3365894</v>
      </c>
      <c r="G12" s="5"/>
      <c r="H12" s="5"/>
    </row>
    <row r="13" spans="2:12">
      <c r="B13" t="s">
        <v>99</v>
      </c>
      <c r="C13" t="s">
        <v>98</v>
      </c>
      <c r="D13" s="5">
        <v>1544048</v>
      </c>
      <c r="E13" s="5">
        <v>1152991</v>
      </c>
      <c r="F13" s="5">
        <f t="shared" si="0"/>
        <v>2697039</v>
      </c>
      <c r="G13" s="5"/>
      <c r="H13" s="5"/>
    </row>
    <row r="14" spans="2:12">
      <c r="B14" t="s">
        <v>19</v>
      </c>
      <c r="C14" t="s">
        <v>96</v>
      </c>
      <c r="D14" s="5">
        <v>1557269</v>
      </c>
      <c r="E14" s="5">
        <v>1749360</v>
      </c>
      <c r="F14" s="5">
        <f t="shared" si="0"/>
        <v>3306629</v>
      </c>
      <c r="G14" s="5"/>
      <c r="H14" s="5"/>
    </row>
    <row r="15" spans="2:12">
      <c r="B15" t="s">
        <v>145</v>
      </c>
      <c r="C15" t="s">
        <v>98</v>
      </c>
      <c r="D15" s="5">
        <v>1877136</v>
      </c>
      <c r="E15" s="5">
        <v>2488758</v>
      </c>
      <c r="F15" s="5">
        <f t="shared" si="0"/>
        <v>4365894</v>
      </c>
      <c r="G15" s="5"/>
      <c r="H15" s="5"/>
    </row>
    <row r="16" spans="2:12">
      <c r="B16" t="s">
        <v>147</v>
      </c>
      <c r="C16" t="s">
        <v>96</v>
      </c>
      <c r="D16" s="5">
        <v>1544048</v>
      </c>
      <c r="E16" s="5">
        <v>1152991</v>
      </c>
      <c r="F16" s="5">
        <f t="shared" si="0"/>
        <v>2697039</v>
      </c>
      <c r="G16" s="5"/>
      <c r="H16" s="5"/>
    </row>
    <row r="17" spans="2:8">
      <c r="B17" s="2" t="s">
        <v>149</v>
      </c>
      <c r="C17" s="2" t="s">
        <v>97</v>
      </c>
      <c r="D17" s="6">
        <v>1557269</v>
      </c>
      <c r="E17" s="6">
        <v>1749360</v>
      </c>
      <c r="F17" s="6">
        <f t="shared" si="0"/>
        <v>3306629</v>
      </c>
      <c r="G17" s="6"/>
      <c r="H17" s="6"/>
    </row>
    <row r="19" spans="2:8">
      <c r="H19" s="5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88EE3-942C-476A-BE02-DD7CC8E1BA01}">
  <sheetPr>
    <tabColor theme="5" tint="0.39997558519241921"/>
  </sheetPr>
  <dimension ref="B2:H17"/>
  <sheetViews>
    <sheetView workbookViewId="0">
      <selection activeCell="G6" sqref="G6"/>
    </sheetView>
  </sheetViews>
  <sheetFormatPr baseColWidth="10" defaultRowHeight="14.5"/>
  <cols>
    <col min="2" max="2" width="24.36328125" bestFit="1" customWidth="1"/>
    <col min="7" max="7" width="12.6328125" customWidth="1"/>
    <col min="8" max="8" width="14" customWidth="1"/>
  </cols>
  <sheetData>
    <row r="2" spans="2:8">
      <c r="G2" s="4"/>
    </row>
    <row r="3" spans="2:8">
      <c r="B3" s="35" t="s">
        <v>208</v>
      </c>
      <c r="C3" s="36" t="s">
        <v>94</v>
      </c>
      <c r="D3" s="36" t="s">
        <v>128</v>
      </c>
      <c r="E3" s="36" t="s">
        <v>129</v>
      </c>
      <c r="F3" s="36" t="s">
        <v>52</v>
      </c>
      <c r="G3" s="36" t="s">
        <v>209</v>
      </c>
      <c r="H3" s="36" t="s">
        <v>210</v>
      </c>
    </row>
    <row r="4" spans="2:8">
      <c r="B4" t="s">
        <v>13</v>
      </c>
      <c r="C4" t="s">
        <v>96</v>
      </c>
      <c r="D4" s="5">
        <v>1800000</v>
      </c>
      <c r="E4" s="5">
        <v>1761993</v>
      </c>
      <c r="F4" s="5">
        <f>SUM(D4:E4)</f>
        <v>3561993</v>
      </c>
      <c r="G4" s="5"/>
      <c r="H4" s="5"/>
    </row>
    <row r="5" spans="2:8">
      <c r="B5" t="s">
        <v>43</v>
      </c>
      <c r="C5" t="s">
        <v>97</v>
      </c>
      <c r="D5" s="5">
        <v>1450000</v>
      </c>
      <c r="E5" s="5">
        <v>1452833</v>
      </c>
      <c r="F5" s="5">
        <f t="shared" ref="F5:F17" si="0">SUM(D5:E5)</f>
        <v>2902833</v>
      </c>
      <c r="G5" s="5"/>
      <c r="H5" s="5"/>
    </row>
    <row r="6" spans="2:8">
      <c r="B6" t="s">
        <v>25</v>
      </c>
      <c r="C6" t="s">
        <v>96</v>
      </c>
      <c r="D6" s="5">
        <v>1407818</v>
      </c>
      <c r="E6" s="5">
        <v>1157745</v>
      </c>
      <c r="F6" s="5">
        <f t="shared" si="0"/>
        <v>2565563</v>
      </c>
      <c r="G6" s="5"/>
      <c r="H6" s="5"/>
    </row>
    <row r="7" spans="2:8">
      <c r="B7" t="s">
        <v>46</v>
      </c>
      <c r="C7" t="s">
        <v>97</v>
      </c>
      <c r="D7" s="5">
        <v>1358328</v>
      </c>
      <c r="E7" s="5">
        <v>1426105</v>
      </c>
      <c r="F7" s="5">
        <f t="shared" si="0"/>
        <v>2784433</v>
      </c>
      <c r="G7" s="5"/>
      <c r="H7" s="5"/>
    </row>
    <row r="8" spans="2:8">
      <c r="B8" t="s">
        <v>10</v>
      </c>
      <c r="C8" t="s">
        <v>97</v>
      </c>
      <c r="D8" s="5">
        <v>1130123</v>
      </c>
      <c r="E8" s="5">
        <v>1067634</v>
      </c>
      <c r="F8" s="5">
        <f t="shared" si="0"/>
        <v>2197757</v>
      </c>
      <c r="G8" s="5"/>
      <c r="H8" s="5"/>
    </row>
    <row r="9" spans="2:8">
      <c r="B9" t="s">
        <v>27</v>
      </c>
      <c r="C9" t="s">
        <v>96</v>
      </c>
      <c r="D9" s="5">
        <v>1497557</v>
      </c>
      <c r="E9" s="5">
        <v>1052172</v>
      </c>
      <c r="F9" s="5">
        <f t="shared" si="0"/>
        <v>2549729</v>
      </c>
      <c r="G9" s="5"/>
      <c r="H9" s="5"/>
    </row>
    <row r="10" spans="2:8">
      <c r="B10" t="s">
        <v>23</v>
      </c>
      <c r="C10" t="s">
        <v>98</v>
      </c>
      <c r="D10" s="5">
        <v>1195385</v>
      </c>
      <c r="E10" s="5">
        <v>1470321</v>
      </c>
      <c r="F10" s="5">
        <f t="shared" si="0"/>
        <v>2665706</v>
      </c>
      <c r="G10" s="5"/>
      <c r="H10" s="5"/>
    </row>
    <row r="11" spans="2:8">
      <c r="B11" t="s">
        <v>7</v>
      </c>
      <c r="C11" t="s">
        <v>96</v>
      </c>
      <c r="D11" s="5">
        <v>1731335</v>
      </c>
      <c r="E11" s="5">
        <v>1124654</v>
      </c>
      <c r="F11" s="5">
        <f t="shared" si="0"/>
        <v>2855989</v>
      </c>
      <c r="G11" s="5"/>
      <c r="H11" s="5"/>
    </row>
    <row r="12" spans="2:8">
      <c r="B12" t="s">
        <v>49</v>
      </c>
      <c r="C12" t="s">
        <v>97</v>
      </c>
      <c r="D12" s="5">
        <v>1877136</v>
      </c>
      <c r="E12" s="5">
        <v>1488758</v>
      </c>
      <c r="F12" s="5">
        <f t="shared" si="0"/>
        <v>3365894</v>
      </c>
      <c r="G12" s="5"/>
      <c r="H12" s="5"/>
    </row>
    <row r="13" spans="2:8">
      <c r="B13" t="s">
        <v>99</v>
      </c>
      <c r="C13" t="s">
        <v>98</v>
      </c>
      <c r="D13" s="5">
        <v>1544048</v>
      </c>
      <c r="E13" s="5">
        <v>1152991</v>
      </c>
      <c r="F13" s="5">
        <f t="shared" si="0"/>
        <v>2697039</v>
      </c>
      <c r="G13" s="5"/>
      <c r="H13" s="5"/>
    </row>
    <row r="14" spans="2:8">
      <c r="B14" t="s">
        <v>19</v>
      </c>
      <c r="C14" t="s">
        <v>96</v>
      </c>
      <c r="D14" s="5">
        <v>1557269</v>
      </c>
      <c r="E14" s="5">
        <v>1749360</v>
      </c>
      <c r="F14" s="5">
        <f t="shared" si="0"/>
        <v>3306629</v>
      </c>
      <c r="G14" s="5"/>
      <c r="H14" s="5"/>
    </row>
    <row r="15" spans="2:8">
      <c r="B15" t="s">
        <v>145</v>
      </c>
      <c r="C15" t="s">
        <v>98</v>
      </c>
      <c r="D15" s="5">
        <v>1877136</v>
      </c>
      <c r="E15" s="5">
        <v>2488758</v>
      </c>
      <c r="F15" s="5">
        <f t="shared" si="0"/>
        <v>4365894</v>
      </c>
      <c r="G15" s="5"/>
      <c r="H15" s="5"/>
    </row>
    <row r="16" spans="2:8">
      <c r="B16" t="s">
        <v>147</v>
      </c>
      <c r="C16" t="s">
        <v>96</v>
      </c>
      <c r="D16" s="5">
        <v>1544048</v>
      </c>
      <c r="E16" s="5">
        <v>1152991</v>
      </c>
      <c r="F16" s="5">
        <f t="shared" si="0"/>
        <v>2697039</v>
      </c>
      <c r="G16" s="5"/>
      <c r="H16" s="5"/>
    </row>
    <row r="17" spans="2:8">
      <c r="B17" s="2" t="s">
        <v>149</v>
      </c>
      <c r="C17" s="2" t="s">
        <v>97</v>
      </c>
      <c r="D17" s="6">
        <v>1557269</v>
      </c>
      <c r="E17" s="6">
        <v>1749360</v>
      </c>
      <c r="F17" s="6">
        <f t="shared" si="0"/>
        <v>3306629</v>
      </c>
      <c r="G17" s="6"/>
      <c r="H17" s="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88423-81D4-4F7D-A9D5-1359518FFAC5}">
  <sheetPr>
    <tabColor theme="5" tint="0.39997558519241921"/>
  </sheetPr>
  <dimension ref="B2:C5"/>
  <sheetViews>
    <sheetView workbookViewId="0">
      <selection activeCell="D6" sqref="D6"/>
    </sheetView>
  </sheetViews>
  <sheetFormatPr baseColWidth="10" defaultRowHeight="14.5"/>
  <sheetData>
    <row r="2" spans="2:3">
      <c r="B2" s="26" t="s">
        <v>94</v>
      </c>
      <c r="C2" s="26" t="s">
        <v>207</v>
      </c>
    </row>
    <row r="3" spans="2:3">
      <c r="B3" s="16" t="s">
        <v>96</v>
      </c>
      <c r="C3" s="17">
        <v>0.125</v>
      </c>
    </row>
    <row r="4" spans="2:3">
      <c r="B4" s="16" t="s">
        <v>97</v>
      </c>
      <c r="C4" s="17">
        <v>0.13400000000000001</v>
      </c>
    </row>
    <row r="5" spans="2:3">
      <c r="B5" s="16" t="s">
        <v>98</v>
      </c>
      <c r="C5" s="17">
        <v>0.11550000000000001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F8196-A6E0-44BC-93CA-59E7EAD3B689}">
  <dimension ref="B2:H12"/>
  <sheetViews>
    <sheetView workbookViewId="0">
      <selection activeCell="C12" sqref="C12"/>
    </sheetView>
  </sheetViews>
  <sheetFormatPr baseColWidth="10" defaultRowHeight="14.5"/>
  <cols>
    <col min="1" max="1" width="3.6328125" customWidth="1"/>
    <col min="3" max="3" width="23.7265625" customWidth="1"/>
    <col min="4" max="4" width="23.81640625" customWidth="1"/>
    <col min="5" max="5" width="22.90625" bestFit="1" customWidth="1"/>
    <col min="6" max="6" width="20.36328125" customWidth="1"/>
    <col min="7" max="7" width="23.08984375" bestFit="1" customWidth="1"/>
    <col min="8" max="8" width="26.7265625" customWidth="1"/>
  </cols>
  <sheetData>
    <row r="2" spans="2:8">
      <c r="B2" s="23" t="s">
        <v>53</v>
      </c>
      <c r="C2" s="18" t="s">
        <v>56</v>
      </c>
      <c r="D2" s="18" t="s">
        <v>59</v>
      </c>
      <c r="E2" s="18" t="s">
        <v>61</v>
      </c>
      <c r="F2" s="18" t="s">
        <v>64</v>
      </c>
      <c r="G2" s="18" t="s">
        <v>66</v>
      </c>
      <c r="H2" s="18" t="s">
        <v>69</v>
      </c>
    </row>
    <row r="3" spans="2:8">
      <c r="B3" s="24" t="s">
        <v>3</v>
      </c>
      <c r="C3" s="16" t="s">
        <v>57</v>
      </c>
      <c r="D3" s="16" t="s">
        <v>60</v>
      </c>
      <c r="E3" s="16" t="s">
        <v>62</v>
      </c>
      <c r="F3" s="16" t="s">
        <v>65</v>
      </c>
      <c r="G3" s="16" t="s">
        <v>67</v>
      </c>
      <c r="H3" s="16" t="s">
        <v>70</v>
      </c>
    </row>
    <row r="4" spans="2:8">
      <c r="B4" s="24" t="s">
        <v>54</v>
      </c>
      <c r="C4" s="16" t="s">
        <v>58</v>
      </c>
      <c r="D4" s="16" t="s">
        <v>90</v>
      </c>
      <c r="E4" s="16" t="s">
        <v>63</v>
      </c>
      <c r="F4" s="16" t="s">
        <v>91</v>
      </c>
      <c r="G4" s="16" t="s">
        <v>68</v>
      </c>
      <c r="H4" s="16" t="s">
        <v>92</v>
      </c>
    </row>
    <row r="5" spans="2:8">
      <c r="B5" s="25" t="s">
        <v>55</v>
      </c>
      <c r="C5" s="7">
        <v>750000</v>
      </c>
      <c r="D5" s="7">
        <v>850000</v>
      </c>
      <c r="E5" s="7">
        <v>650000</v>
      </c>
      <c r="F5" s="7">
        <v>500000</v>
      </c>
      <c r="G5" s="7">
        <v>680000</v>
      </c>
      <c r="H5" s="7">
        <v>760000</v>
      </c>
    </row>
    <row r="8" spans="2:8">
      <c r="B8" s="23" t="s">
        <v>53</v>
      </c>
      <c r="C8" s="4" t="s">
        <v>66</v>
      </c>
    </row>
    <row r="10" spans="2:8">
      <c r="B10" s="24" t="s">
        <v>3</v>
      </c>
      <c r="C10" t="str">
        <f>HLOOKUP($C$8,TablaF,2,0)</f>
        <v>Guillermo Cáceres Fuentes</v>
      </c>
    </row>
    <row r="11" spans="2:8">
      <c r="B11" s="24" t="s">
        <v>54</v>
      </c>
      <c r="C11" t="str">
        <f>HLOOKUP($C$8,TablaF,3,0)</f>
        <v>Los leones 2255</v>
      </c>
    </row>
    <row r="12" spans="2:8">
      <c r="B12" s="25" t="s">
        <v>55</v>
      </c>
      <c r="C12" s="5">
        <f>HLOOKUP($C$8,TablaF,4,0)</f>
        <v>680000</v>
      </c>
    </row>
  </sheetData>
  <dataValidations count="1">
    <dataValidation type="list" allowBlank="1" showInputMessage="1" showErrorMessage="1" sqref="C8" xr:uid="{2F9A4573-B762-40C3-BB3F-3FD8CFE3F6A4}">
      <formula1>RutF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5DECB-B8BD-4F83-B745-B306ADB2DE00}">
  <dimension ref="A2:F35"/>
  <sheetViews>
    <sheetView workbookViewId="0">
      <selection activeCell="C16" sqref="C16"/>
    </sheetView>
  </sheetViews>
  <sheetFormatPr baseColWidth="10" defaultRowHeight="14.5"/>
  <cols>
    <col min="1" max="1" width="6.26953125" customWidth="1"/>
    <col min="2" max="2" width="13.26953125" customWidth="1"/>
    <col min="3" max="3" width="23.54296875" customWidth="1"/>
    <col min="4" max="4" width="27.54296875" customWidth="1"/>
    <col min="5" max="5" width="14.54296875" customWidth="1"/>
    <col min="8" max="8" width="16.1796875" customWidth="1"/>
  </cols>
  <sheetData>
    <row r="2" spans="1:6" ht="15.75" customHeight="1">
      <c r="B2" s="19" t="s">
        <v>53</v>
      </c>
      <c r="C2" s="20" t="s">
        <v>3</v>
      </c>
      <c r="D2" s="20" t="s">
        <v>54</v>
      </c>
      <c r="E2" s="22" t="s">
        <v>87</v>
      </c>
      <c r="F2" s="21" t="s">
        <v>55</v>
      </c>
    </row>
    <row r="3" spans="1:6" ht="15.75" customHeight="1">
      <c r="B3" s="4" t="s">
        <v>56</v>
      </c>
      <c r="C3" t="s">
        <v>57</v>
      </c>
      <c r="D3" t="s">
        <v>58</v>
      </c>
      <c r="E3" s="4" t="s">
        <v>88</v>
      </c>
      <c r="F3" s="5">
        <v>750000</v>
      </c>
    </row>
    <row r="4" spans="1:6" ht="15.75" customHeight="1">
      <c r="B4" s="4" t="s">
        <v>59</v>
      </c>
      <c r="C4" t="s">
        <v>60</v>
      </c>
      <c r="D4" t="s">
        <v>90</v>
      </c>
      <c r="E4" s="4" t="s">
        <v>88</v>
      </c>
      <c r="F4" s="5">
        <v>850000</v>
      </c>
    </row>
    <row r="5" spans="1:6" ht="15.75" customHeight="1">
      <c r="B5" s="4" t="s">
        <v>71</v>
      </c>
      <c r="C5" t="s">
        <v>72</v>
      </c>
      <c r="D5" t="s">
        <v>105</v>
      </c>
      <c r="E5" s="4" t="s">
        <v>88</v>
      </c>
      <c r="F5" s="5">
        <v>550000</v>
      </c>
    </row>
    <row r="6" spans="1:6" ht="15.75" customHeight="1">
      <c r="B6" s="4" t="s">
        <v>74</v>
      </c>
      <c r="C6" t="s">
        <v>75</v>
      </c>
      <c r="D6" t="s">
        <v>92</v>
      </c>
      <c r="E6" s="4" t="s">
        <v>88</v>
      </c>
      <c r="F6" s="5">
        <v>450000</v>
      </c>
    </row>
    <row r="7" spans="1:6" ht="15.75" customHeight="1">
      <c r="B7" s="4" t="s">
        <v>77</v>
      </c>
      <c r="C7" t="s">
        <v>78</v>
      </c>
      <c r="D7" t="s">
        <v>73</v>
      </c>
      <c r="E7" s="4" t="s">
        <v>88</v>
      </c>
      <c r="F7" s="5">
        <v>880000</v>
      </c>
    </row>
    <row r="8" spans="1:6" ht="15.75" customHeight="1">
      <c r="B8" s="4" t="s">
        <v>80</v>
      </c>
      <c r="C8" t="s">
        <v>81</v>
      </c>
      <c r="D8" t="s">
        <v>76</v>
      </c>
      <c r="E8" s="4" t="s">
        <v>88</v>
      </c>
      <c r="F8" s="5">
        <v>770000</v>
      </c>
    </row>
    <row r="9" spans="1:6" ht="15.75" customHeight="1">
      <c r="B9" s="4" t="s">
        <v>82</v>
      </c>
      <c r="C9" t="s">
        <v>83</v>
      </c>
      <c r="D9" t="s">
        <v>79</v>
      </c>
      <c r="E9" s="4" t="s">
        <v>88</v>
      </c>
      <c r="F9" s="5">
        <v>650000</v>
      </c>
    </row>
    <row r="10" spans="1:6" ht="15.75" customHeight="1">
      <c r="B10" s="3" t="s">
        <v>85</v>
      </c>
      <c r="C10" s="2" t="s">
        <v>86</v>
      </c>
      <c r="D10" s="2" t="s">
        <v>103</v>
      </c>
      <c r="E10" s="3" t="s">
        <v>88</v>
      </c>
      <c r="F10" s="6">
        <v>400000</v>
      </c>
    </row>
    <row r="12" spans="1:6">
      <c r="A12" s="64">
        <v>1</v>
      </c>
      <c r="B12" s="19" t="s">
        <v>53</v>
      </c>
      <c r="C12" s="20" t="s">
        <v>3</v>
      </c>
      <c r="D12" s="20" t="s">
        <v>54</v>
      </c>
      <c r="E12" s="22" t="s">
        <v>87</v>
      </c>
      <c r="F12" s="21" t="s">
        <v>55</v>
      </c>
    </row>
    <row r="13" spans="1:6">
      <c r="B13" t="s">
        <v>56</v>
      </c>
      <c r="C13" t="str" cm="1">
        <f t="array" ref="C13:F13">_xlfn.XLOOKUP(B13,B3:B10,C3:F10,"No Existe",0)</f>
        <v>Alejandro Matute Alvear</v>
      </c>
      <c r="D13" t="str">
        <v>Amunátegui 139-B</v>
      </c>
      <c r="E13" t="str">
        <v>SANTIAGO</v>
      </c>
      <c r="F13">
        <v>750000</v>
      </c>
    </row>
    <row r="15" spans="1:6">
      <c r="A15" s="64">
        <v>2</v>
      </c>
      <c r="B15" s="19" t="s">
        <v>53</v>
      </c>
      <c r="C15" s="21" t="s">
        <v>55</v>
      </c>
    </row>
    <row r="16" spans="1:6">
      <c r="B16" t="s">
        <v>74</v>
      </c>
      <c r="C16" s="5">
        <f>_xlfn.XLOOKUP(B16,B3:B10,F3:F10,"No Existe",0)</f>
        <v>450000</v>
      </c>
    </row>
    <row r="31" spans="3:3" ht="15.75" customHeight="1">
      <c r="C31" t="e">
        <f>#REF! &amp; " " &amp;#REF!&amp;" " &amp;#REF!</f>
        <v>#REF!</v>
      </c>
    </row>
    <row r="32" spans="3:3" ht="15.75" customHeight="1">
      <c r="C32" t="e">
        <f>#REF! &amp; " " &amp;#REF!&amp;" " &amp;#REF!</f>
        <v>#REF!</v>
      </c>
    </row>
    <row r="33" spans="3:3" ht="15.75" customHeight="1">
      <c r="C33" t="e">
        <f>#REF! &amp; " " &amp;#REF!&amp;" " &amp;#REF!</f>
        <v>#REF!</v>
      </c>
    </row>
    <row r="34" spans="3:3" ht="15.75" customHeight="1">
      <c r="C34" t="e">
        <f>#REF! &amp; " " &amp;#REF!&amp;" " &amp;#REF!</f>
        <v>#REF!</v>
      </c>
    </row>
    <row r="35" spans="3:3" ht="15.75" customHeight="1">
      <c r="C35" t="e">
        <f>#REF! &amp; " " &amp;#REF!&amp;" " &amp;#REF!</f>
        <v>#REF!</v>
      </c>
    </row>
  </sheetData>
  <dataValidations count="1">
    <dataValidation type="list" allowBlank="1" showInputMessage="1" showErrorMessage="1" sqref="B13 B16" xr:uid="{285638ED-6E68-4980-933E-423BA7D92A65}">
      <formula1>$B$3:$B$10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CF63D-F5B1-4268-B08D-85F8B78E2860}">
  <dimension ref="B2:I13"/>
  <sheetViews>
    <sheetView workbookViewId="0">
      <selection activeCell="H9" sqref="H9"/>
    </sheetView>
  </sheetViews>
  <sheetFormatPr baseColWidth="10" defaultColWidth="11" defaultRowHeight="14.5"/>
  <cols>
    <col min="3" max="3" width="25.7265625" bestFit="1" customWidth="1"/>
    <col min="4" max="4" width="11.453125" customWidth="1"/>
  </cols>
  <sheetData>
    <row r="2" spans="2:9">
      <c r="B2" s="26" t="s">
        <v>93</v>
      </c>
      <c r="C2" s="27" t="s">
        <v>0</v>
      </c>
      <c r="D2" s="26" t="s">
        <v>94</v>
      </c>
      <c r="E2" s="26" t="s">
        <v>95</v>
      </c>
      <c r="G2" s="26" t="s">
        <v>93</v>
      </c>
      <c r="H2">
        <v>21</v>
      </c>
    </row>
    <row r="3" spans="2:9">
      <c r="B3" s="18">
        <v>1</v>
      </c>
      <c r="C3" s="16" t="s">
        <v>13</v>
      </c>
      <c r="D3" s="16" t="s">
        <v>96</v>
      </c>
      <c r="E3" s="7">
        <v>24519347</v>
      </c>
    </row>
    <row r="4" spans="2:9">
      <c r="B4" s="18">
        <v>2</v>
      </c>
      <c r="C4" s="16" t="s">
        <v>43</v>
      </c>
      <c r="D4" s="16" t="s">
        <v>97</v>
      </c>
      <c r="E4" s="7">
        <v>12975234</v>
      </c>
    </row>
    <row r="5" spans="2:9">
      <c r="B5" s="18">
        <v>3</v>
      </c>
      <c r="C5" s="16" t="s">
        <v>25</v>
      </c>
      <c r="D5" s="16" t="s">
        <v>96</v>
      </c>
      <c r="E5" s="7">
        <v>15078994</v>
      </c>
      <c r="G5" s="28" t="s">
        <v>0</v>
      </c>
      <c r="H5" s="58" t="str" cm="1">
        <f t="array" ref="H5">IFERROR(INDEX(B3:E13,H2,2),"No Existe")</f>
        <v>No Existe</v>
      </c>
      <c r="I5" s="58"/>
    </row>
    <row r="6" spans="2:9">
      <c r="B6" s="18">
        <v>4</v>
      </c>
      <c r="C6" s="16" t="s">
        <v>46</v>
      </c>
      <c r="D6" s="16" t="s">
        <v>97</v>
      </c>
      <c r="E6" s="7">
        <v>20962232</v>
      </c>
      <c r="G6" s="28" t="s">
        <v>94</v>
      </c>
      <c r="H6" t="str" cm="1">
        <f t="array" ref="H6">IFERROR(INDEX(B3:E13,H2,3)," ")</f>
        <v xml:space="preserve"> </v>
      </c>
    </row>
    <row r="7" spans="2:9">
      <c r="B7" s="18">
        <v>5</v>
      </c>
      <c r="C7" s="16" t="s">
        <v>10</v>
      </c>
      <c r="D7" s="16" t="s">
        <v>97</v>
      </c>
      <c r="E7" s="7">
        <v>32163792</v>
      </c>
      <c r="G7" s="28" t="s">
        <v>95</v>
      </c>
      <c r="H7" s="5" cm="1">
        <f t="array" ref="H7">IFERROR(INDEX(B3:E13,H2,4),0)</f>
        <v>0</v>
      </c>
    </row>
    <row r="8" spans="2:9">
      <c r="B8" s="18">
        <v>6</v>
      </c>
      <c r="C8" s="16" t="s">
        <v>27</v>
      </c>
      <c r="D8" s="16" t="s">
        <v>96</v>
      </c>
      <c r="E8" s="7">
        <v>13147318</v>
      </c>
    </row>
    <row r="9" spans="2:9">
      <c r="B9" s="18">
        <v>7</v>
      </c>
      <c r="C9" s="16" t="s">
        <v>23</v>
      </c>
      <c r="D9" s="16" t="s">
        <v>98</v>
      </c>
      <c r="E9" s="7">
        <v>5657484</v>
      </c>
    </row>
    <row r="10" spans="2:9">
      <c r="B10" s="18">
        <v>8</v>
      </c>
      <c r="C10" s="16" t="s">
        <v>7</v>
      </c>
      <c r="D10" s="16" t="s">
        <v>96</v>
      </c>
      <c r="E10" s="7">
        <v>20307860</v>
      </c>
    </row>
    <row r="11" spans="2:9">
      <c r="B11" s="18">
        <v>9</v>
      </c>
      <c r="C11" s="16" t="s">
        <v>49</v>
      </c>
      <c r="D11" s="16" t="s">
        <v>97</v>
      </c>
      <c r="E11" s="7">
        <v>23355833</v>
      </c>
    </row>
    <row r="12" spans="2:9">
      <c r="B12" s="18">
        <v>10</v>
      </c>
      <c r="C12" s="16" t="s">
        <v>99</v>
      </c>
      <c r="D12" s="16" t="s">
        <v>98</v>
      </c>
      <c r="E12" s="7">
        <v>29299145</v>
      </c>
    </row>
    <row r="13" spans="2:9">
      <c r="B13" s="18">
        <v>11</v>
      </c>
      <c r="C13" s="16" t="s">
        <v>19</v>
      </c>
      <c r="D13" s="16" t="s">
        <v>96</v>
      </c>
      <c r="E13" s="7">
        <v>25732995</v>
      </c>
    </row>
  </sheetData>
  <mergeCells count="1">
    <mergeCell ref="H5:I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62B49-2056-4798-8CA7-B2FE276B909D}">
  <dimension ref="B1:K17"/>
  <sheetViews>
    <sheetView workbookViewId="0">
      <selection activeCell="I18" sqref="I18"/>
    </sheetView>
  </sheetViews>
  <sheetFormatPr baseColWidth="10" defaultRowHeight="14.5"/>
  <cols>
    <col min="1" max="1" width="3" customWidth="1"/>
    <col min="2" max="2" width="13.1796875" customWidth="1"/>
    <col min="3" max="3" width="23.81640625" customWidth="1"/>
    <col min="4" max="4" width="26.54296875" customWidth="1"/>
    <col min="5" max="5" width="11.1796875" bestFit="1" customWidth="1"/>
    <col min="7" max="7" width="3" customWidth="1"/>
    <col min="8" max="8" width="11.54296875" customWidth="1"/>
    <col min="9" max="9" width="24.54296875" customWidth="1"/>
  </cols>
  <sheetData>
    <row r="1" spans="2:11">
      <c r="K1" t="s">
        <v>214</v>
      </c>
    </row>
    <row r="2" spans="2:11">
      <c r="B2" s="19" t="s">
        <v>53</v>
      </c>
      <c r="C2" s="20" t="s">
        <v>3</v>
      </c>
      <c r="D2" s="20" t="s">
        <v>54</v>
      </c>
      <c r="E2" s="22" t="s">
        <v>87</v>
      </c>
      <c r="F2" s="21" t="s">
        <v>55</v>
      </c>
      <c r="G2" s="37">
        <v>1</v>
      </c>
      <c r="H2" s="19" t="s">
        <v>53</v>
      </c>
      <c r="I2" t="s">
        <v>61</v>
      </c>
      <c r="K2">
        <f>MATCH(I2,B3:B11,0)</f>
        <v>3</v>
      </c>
    </row>
    <row r="3" spans="2:11">
      <c r="B3" s="4" t="s">
        <v>56</v>
      </c>
      <c r="C3" t="s">
        <v>57</v>
      </c>
      <c r="D3" t="s">
        <v>58</v>
      </c>
      <c r="E3" t="s">
        <v>88</v>
      </c>
      <c r="F3" s="5">
        <v>750000</v>
      </c>
    </row>
    <row r="4" spans="2:11">
      <c r="B4" s="4" t="s">
        <v>59</v>
      </c>
      <c r="C4" t="s">
        <v>60</v>
      </c>
      <c r="D4" t="s">
        <v>90</v>
      </c>
      <c r="E4" t="s">
        <v>88</v>
      </c>
      <c r="F4" s="5">
        <v>850000</v>
      </c>
      <c r="H4" s="24" t="s">
        <v>3</v>
      </c>
      <c r="I4" t="str" cm="1">
        <f t="array" ref="I4">INDEX(B3:F11,K2,2)</f>
        <v>Nelson  Albornoz Figueroa</v>
      </c>
    </row>
    <row r="5" spans="2:11">
      <c r="B5" s="4" t="s">
        <v>61</v>
      </c>
      <c r="C5" t="s">
        <v>62</v>
      </c>
      <c r="D5" t="s">
        <v>63</v>
      </c>
      <c r="E5" t="s">
        <v>88</v>
      </c>
      <c r="F5" s="5">
        <v>650000</v>
      </c>
      <c r="H5" s="24" t="s">
        <v>54</v>
      </c>
      <c r="I5" t="str" cm="1">
        <f t="array" ref="I5">INDEX($B$3:$F$11,$K$2,3)</f>
        <v>Obispo Salas 0245, Of. 440</v>
      </c>
    </row>
    <row r="6" spans="2:11">
      <c r="B6" s="4" t="s">
        <v>64</v>
      </c>
      <c r="C6" t="s">
        <v>65</v>
      </c>
      <c r="D6" t="s">
        <v>91</v>
      </c>
      <c r="E6" t="s">
        <v>89</v>
      </c>
      <c r="F6" s="5">
        <v>500000</v>
      </c>
      <c r="H6" s="24" t="s">
        <v>87</v>
      </c>
      <c r="I6" t="str" cm="1">
        <f t="array" ref="I6">INDEX($B$3:$F$11,$K$2,4)</f>
        <v>SANTIAGO</v>
      </c>
    </row>
    <row r="7" spans="2:11">
      <c r="B7" s="4" t="s">
        <v>71</v>
      </c>
      <c r="C7" t="s">
        <v>72</v>
      </c>
      <c r="D7" t="s">
        <v>68</v>
      </c>
      <c r="E7" t="s">
        <v>88</v>
      </c>
      <c r="F7" s="5">
        <v>550000</v>
      </c>
      <c r="H7" s="25" t="s">
        <v>55</v>
      </c>
      <c r="I7" s="5" cm="1">
        <f t="array" ref="I7">INDEX($B$3:$F$11,$K$2,5)</f>
        <v>650000</v>
      </c>
    </row>
    <row r="8" spans="2:11">
      <c r="B8" s="4" t="s">
        <v>74</v>
      </c>
      <c r="C8" t="s">
        <v>75</v>
      </c>
      <c r="D8" t="s">
        <v>92</v>
      </c>
      <c r="E8" t="s">
        <v>88</v>
      </c>
      <c r="F8" s="5">
        <v>450000</v>
      </c>
    </row>
    <row r="9" spans="2:11">
      <c r="B9" s="4" t="s">
        <v>77</v>
      </c>
      <c r="C9" t="s">
        <v>78</v>
      </c>
      <c r="D9" t="s">
        <v>73</v>
      </c>
      <c r="E9" t="s">
        <v>88</v>
      </c>
      <c r="F9" s="5">
        <v>880000</v>
      </c>
    </row>
    <row r="10" spans="2:11">
      <c r="B10" s="4" t="s">
        <v>80</v>
      </c>
      <c r="C10" t="s">
        <v>81</v>
      </c>
      <c r="D10" t="s">
        <v>76</v>
      </c>
      <c r="E10" t="s">
        <v>88</v>
      </c>
      <c r="F10" s="5">
        <v>770000</v>
      </c>
    </row>
    <row r="11" spans="2:11">
      <c r="B11" s="3" t="s">
        <v>82</v>
      </c>
      <c r="C11" s="2" t="s">
        <v>83</v>
      </c>
      <c r="D11" s="2" t="s">
        <v>79</v>
      </c>
      <c r="E11" s="2" t="s">
        <v>88</v>
      </c>
      <c r="F11" s="6">
        <v>650000</v>
      </c>
    </row>
    <row r="12" spans="2:11">
      <c r="G12" s="37">
        <v>2</v>
      </c>
      <c r="H12" s="19" t="s">
        <v>53</v>
      </c>
      <c r="I12" t="s">
        <v>77</v>
      </c>
    </row>
    <row r="14" spans="2:11">
      <c r="H14" s="24" t="s">
        <v>3</v>
      </c>
      <c r="I14" t="str">
        <f>INDEX(B3:F11,MATCH(I12,B3:B11,0),2)</f>
        <v>Marta  Caro Serrano</v>
      </c>
    </row>
    <row r="15" spans="2:11">
      <c r="H15" s="24" t="s">
        <v>54</v>
      </c>
      <c r="I15" t="str">
        <f>INDEX(B3:F11,MATCH(I12,B3:B11,0),3)</f>
        <v>Obispo Salas 0245, Of. 441</v>
      </c>
    </row>
    <row r="16" spans="2:11">
      <c r="H16" s="24" t="s">
        <v>87</v>
      </c>
      <c r="I16" t="str">
        <f>INDEX(B3:F11,MATCH(I12,B3:B11,0),4)</f>
        <v>SANTIAGO</v>
      </c>
    </row>
    <row r="17" spans="8:9">
      <c r="H17" s="25" t="s">
        <v>55</v>
      </c>
      <c r="I17">
        <f>INDEX(B3:F11,MATCH(I12,B3:B11,0),5)</f>
        <v>880000</v>
      </c>
    </row>
  </sheetData>
  <dataValidations count="1">
    <dataValidation type="list" allowBlank="1" showInputMessage="1" showErrorMessage="1" sqref="I2 I12" xr:uid="{4E0303C6-F838-4C55-96BB-E6F3045B5FAD}">
      <formula1>$B$3:$B$11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EE91B-D137-4C29-8752-86CDCAE78325}">
  <dimension ref="A1:I15"/>
  <sheetViews>
    <sheetView workbookViewId="0">
      <selection activeCell="F15" sqref="F15"/>
    </sheetView>
  </sheetViews>
  <sheetFormatPr baseColWidth="10" defaultRowHeight="14.5"/>
  <cols>
    <col min="1" max="1" width="8.453125" customWidth="1"/>
    <col min="2" max="2" width="11.54296875" bestFit="1" customWidth="1"/>
    <col min="3" max="3" width="22.81640625" bestFit="1" customWidth="1"/>
    <col min="4" max="4" width="25" bestFit="1" customWidth="1"/>
    <col min="5" max="5" width="10.36328125" bestFit="1" customWidth="1"/>
    <col min="6" max="6" width="8.1796875" customWidth="1"/>
    <col min="7" max="7" width="3.54296875" customWidth="1"/>
    <col min="8" max="8" width="12.08984375" customWidth="1"/>
    <col min="9" max="9" width="25.26953125" customWidth="1"/>
    <col min="10" max="10" width="5" customWidth="1"/>
  </cols>
  <sheetData>
    <row r="1" spans="1:9">
      <c r="A1">
        <v>5</v>
      </c>
      <c r="B1">
        <v>9</v>
      </c>
    </row>
    <row r="2" spans="1:9">
      <c r="B2" s="19" t="s">
        <v>53</v>
      </c>
      <c r="C2" s="20" t="s">
        <v>3</v>
      </c>
      <c r="D2" s="20" t="s">
        <v>54</v>
      </c>
      <c r="E2" s="22" t="s">
        <v>87</v>
      </c>
      <c r="F2" s="21" t="s">
        <v>55</v>
      </c>
      <c r="G2" s="37">
        <v>1</v>
      </c>
      <c r="H2" s="23" t="s">
        <v>53</v>
      </c>
    </row>
    <row r="3" spans="1:9">
      <c r="B3" s="4" t="s">
        <v>56</v>
      </c>
      <c r="C3" t="s">
        <v>57</v>
      </c>
      <c r="D3" t="s">
        <v>58</v>
      </c>
      <c r="E3" t="s">
        <v>88</v>
      </c>
      <c r="F3" s="5">
        <v>750000</v>
      </c>
      <c r="G3" s="4"/>
      <c r="H3" s="32"/>
    </row>
    <row r="4" spans="1:9">
      <c r="B4" s="4" t="s">
        <v>59</v>
      </c>
      <c r="C4" t="s">
        <v>60</v>
      </c>
      <c r="D4" t="s">
        <v>90</v>
      </c>
      <c r="E4" t="s">
        <v>88</v>
      </c>
      <c r="F4" s="5">
        <v>850000</v>
      </c>
      <c r="G4" s="4"/>
      <c r="H4" s="24" t="s">
        <v>3</v>
      </c>
      <c r="I4" t="str" cm="1">
        <f t="array" ref="I4">INDEX(TablaC,$A$1,2)</f>
        <v>Cecilia Cornejo Salinas</v>
      </c>
    </row>
    <row r="5" spans="1:9">
      <c r="B5" s="4" t="s">
        <v>61</v>
      </c>
      <c r="C5" t="s">
        <v>62</v>
      </c>
      <c r="D5" t="s">
        <v>63</v>
      </c>
      <c r="E5" t="s">
        <v>88</v>
      </c>
      <c r="F5" s="5">
        <v>650000</v>
      </c>
      <c r="G5" s="4"/>
      <c r="H5" s="24" t="s">
        <v>54</v>
      </c>
      <c r="I5" t="str" cm="1">
        <f t="array" ref="I5">INDEX(TablaC,$A$1,3)</f>
        <v>Los leones 2255</v>
      </c>
    </row>
    <row r="6" spans="1:9">
      <c r="B6" s="4" t="s">
        <v>64</v>
      </c>
      <c r="C6" t="s">
        <v>65</v>
      </c>
      <c r="D6" t="s">
        <v>91</v>
      </c>
      <c r="E6" t="s">
        <v>89</v>
      </c>
      <c r="F6" s="5">
        <v>500000</v>
      </c>
      <c r="G6" s="4"/>
      <c r="H6" s="24" t="s">
        <v>87</v>
      </c>
      <c r="I6" t="str" cm="1">
        <f t="array" ref="I6">INDEX(TablaC,$A$1,4)</f>
        <v>SANTIAGO</v>
      </c>
    </row>
    <row r="7" spans="1:9">
      <c r="B7" s="4" t="s">
        <v>71</v>
      </c>
      <c r="C7" t="s">
        <v>72</v>
      </c>
      <c r="D7" t="s">
        <v>68</v>
      </c>
      <c r="E7" t="s">
        <v>88</v>
      </c>
      <c r="F7" s="5">
        <v>550000</v>
      </c>
      <c r="G7" s="4"/>
      <c r="H7" s="25" t="s">
        <v>55</v>
      </c>
      <c r="I7" s="5" cm="1">
        <f t="array" ref="I7">INDEX(TablaC,$A$1,5)</f>
        <v>550000</v>
      </c>
    </row>
    <row r="8" spans="1:9">
      <c r="B8" s="4" t="s">
        <v>74</v>
      </c>
      <c r="C8" t="s">
        <v>75</v>
      </c>
      <c r="D8" t="s">
        <v>92</v>
      </c>
      <c r="E8" t="s">
        <v>88</v>
      </c>
      <c r="F8" s="5">
        <v>450000</v>
      </c>
      <c r="G8" s="4"/>
    </row>
    <row r="9" spans="1:9">
      <c r="B9" s="4" t="s">
        <v>77</v>
      </c>
      <c r="C9" t="s">
        <v>78</v>
      </c>
      <c r="D9" t="s">
        <v>73</v>
      </c>
      <c r="E9" t="s">
        <v>88</v>
      </c>
      <c r="F9" s="5">
        <v>880000</v>
      </c>
      <c r="G9" s="4"/>
    </row>
    <row r="10" spans="1:9">
      <c r="B10" s="4" t="s">
        <v>80</v>
      </c>
      <c r="C10" t="s">
        <v>81</v>
      </c>
      <c r="D10" t="s">
        <v>76</v>
      </c>
      <c r="E10" t="s">
        <v>88</v>
      </c>
      <c r="F10" s="5">
        <v>770000</v>
      </c>
      <c r="G10" s="37">
        <v>2</v>
      </c>
      <c r="H10" s="23" t="s">
        <v>53</v>
      </c>
      <c r="I10" t="str" cm="1">
        <f t="array" ref="I10">INDEX(TablaC,B1,1)</f>
        <v>03.030.600-5</v>
      </c>
    </row>
    <row r="11" spans="1:9">
      <c r="B11" s="3" t="s">
        <v>82</v>
      </c>
      <c r="C11" s="2" t="s">
        <v>83</v>
      </c>
      <c r="D11" s="2" t="s">
        <v>79</v>
      </c>
      <c r="E11" s="2" t="s">
        <v>88</v>
      </c>
      <c r="F11" s="6">
        <v>650000</v>
      </c>
      <c r="H11" s="32"/>
    </row>
    <row r="12" spans="1:9">
      <c r="H12" s="24" t="s">
        <v>3</v>
      </c>
      <c r="I12" t="str" cm="1">
        <f t="array" ref="I12">INDEX(TablaC,$B$1,2)</f>
        <v>Jose  Mena  Valencia</v>
      </c>
    </row>
    <row r="13" spans="1:9">
      <c r="C13" s="65" t="s">
        <v>215</v>
      </c>
      <c r="H13" s="24" t="s">
        <v>54</v>
      </c>
      <c r="I13" t="str" cm="1">
        <f t="array" ref="I13">INDEX(TablaC,$B$1,3)</f>
        <v>Avda. Lib. Bdo. O'Higgins 340</v>
      </c>
    </row>
    <row r="14" spans="1:9">
      <c r="H14" s="24" t="s">
        <v>87</v>
      </c>
      <c r="I14" t="str" cm="1">
        <f t="array" ref="I14">INDEX(TablaC,$B$1,4)</f>
        <v>SANTIAGO</v>
      </c>
    </row>
    <row r="15" spans="1:9">
      <c r="H15" s="25" t="s">
        <v>55</v>
      </c>
      <c r="I15" s="5" cm="1">
        <f t="array" ref="I15">INDEX(TablaC,$B$1,5)</f>
        <v>650000</v>
      </c>
    </row>
  </sheetData>
  <hyperlinks>
    <hyperlink ref="C13" r:id="rId1" xr:uid="{F7E4AAAA-DC6B-412C-9FEA-5E2E34C61874}"/>
  </hyperlinks>
  <pageMargins left="0.7" right="0.7" top="0.75" bottom="0.75" header="0.3" footer="0.3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8</xdr:col>
                    <xdr:colOff>69850</xdr:colOff>
                    <xdr:row>0</xdr:row>
                    <xdr:rowOff>158750</xdr:rowOff>
                  </from>
                  <to>
                    <xdr:col>9</xdr:col>
                    <xdr:colOff>12700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Drop Down 2">
              <controlPr defaultSize="0" autoLine="0" autoPict="0">
                <anchor moveWithCells="1">
                  <from>
                    <xdr:col>10</xdr:col>
                    <xdr:colOff>82550</xdr:colOff>
                    <xdr:row>9</xdr:row>
                    <xdr:rowOff>12700</xdr:rowOff>
                  </from>
                  <to>
                    <xdr:col>12</xdr:col>
                    <xdr:colOff>628650</xdr:colOff>
                    <xdr:row>10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51793-8C2E-43EA-8469-8EB34CECCC54}">
  <dimension ref="A1:I11"/>
  <sheetViews>
    <sheetView workbookViewId="0">
      <selection activeCell="H7" sqref="H7"/>
    </sheetView>
  </sheetViews>
  <sheetFormatPr baseColWidth="10" defaultRowHeight="14.5"/>
  <cols>
    <col min="1" max="1" width="4" customWidth="1"/>
    <col min="2" max="2" width="13.90625" customWidth="1"/>
    <col min="3" max="3" width="24.26953125" customWidth="1"/>
    <col min="4" max="4" width="25" bestFit="1" customWidth="1"/>
    <col min="5" max="5" width="10.36328125" bestFit="1" customWidth="1"/>
    <col min="6" max="6" width="11.08984375" customWidth="1"/>
    <col min="7" max="7" width="5.81640625" customWidth="1"/>
    <col min="8" max="8" width="12.1796875" customWidth="1"/>
    <col min="9" max="9" width="26.26953125" customWidth="1"/>
  </cols>
  <sheetData>
    <row r="1" spans="1:9">
      <c r="A1">
        <v>4</v>
      </c>
    </row>
    <row r="2" spans="1:9">
      <c r="B2" s="19" t="s">
        <v>53</v>
      </c>
      <c r="C2" s="20" t="s">
        <v>3</v>
      </c>
      <c r="D2" s="20" t="s">
        <v>54</v>
      </c>
      <c r="E2" s="22" t="s">
        <v>87</v>
      </c>
      <c r="F2" s="21" t="s">
        <v>55</v>
      </c>
      <c r="H2" s="23" t="s">
        <v>53</v>
      </c>
      <c r="I2" t="str" cm="1">
        <f t="array" ref="I2">INDEX(TablaL,A1,1)</f>
        <v>07.215.070-9</v>
      </c>
    </row>
    <row r="3" spans="1:9">
      <c r="B3" s="4" t="s">
        <v>56</v>
      </c>
      <c r="C3" t="s">
        <v>57</v>
      </c>
      <c r="D3" t="s">
        <v>58</v>
      </c>
      <c r="E3" t="s">
        <v>88</v>
      </c>
      <c r="F3" s="5">
        <v>750000</v>
      </c>
      <c r="H3" s="32"/>
    </row>
    <row r="4" spans="1:9">
      <c r="B4" s="4" t="s">
        <v>59</v>
      </c>
      <c r="C4" t="s">
        <v>60</v>
      </c>
      <c r="D4" t="s">
        <v>90</v>
      </c>
      <c r="E4" t="s">
        <v>88</v>
      </c>
      <c r="F4" s="5">
        <v>850000</v>
      </c>
      <c r="H4" s="24" t="s">
        <v>3</v>
      </c>
      <c r="I4" t="str" cm="1">
        <f t="array" ref="I4">INDEX(TablaL,$A$1,2)</f>
        <v>Alejandro Foxley Frez</v>
      </c>
    </row>
    <row r="5" spans="1:9">
      <c r="B5" s="4" t="s">
        <v>61</v>
      </c>
      <c r="C5" t="s">
        <v>62</v>
      </c>
      <c r="D5" t="s">
        <v>63</v>
      </c>
      <c r="E5" t="s">
        <v>88</v>
      </c>
      <c r="F5" s="5">
        <v>650000</v>
      </c>
      <c r="H5" s="24" t="s">
        <v>54</v>
      </c>
      <c r="I5" t="str" cm="1">
        <f t="array" ref="I5">INDEX(TablaL,$A$1,3)</f>
        <v>Praia Do Flamengo 344</v>
      </c>
    </row>
    <row r="6" spans="1:9">
      <c r="B6" s="4" t="s">
        <v>64</v>
      </c>
      <c r="C6" t="s">
        <v>65</v>
      </c>
      <c r="D6" t="s">
        <v>91</v>
      </c>
      <c r="E6" t="s">
        <v>89</v>
      </c>
      <c r="F6" s="5">
        <v>500000</v>
      </c>
      <c r="H6" s="24" t="s">
        <v>87</v>
      </c>
      <c r="I6" t="str" cm="1">
        <f t="array" ref="I6">INDEX(TablaL,$A$1,4)</f>
        <v>RANCAGUA</v>
      </c>
    </row>
    <row r="7" spans="1:9">
      <c r="B7" s="4" t="s">
        <v>71</v>
      </c>
      <c r="C7" t="s">
        <v>72</v>
      </c>
      <c r="D7" t="s">
        <v>68</v>
      </c>
      <c r="E7" t="s">
        <v>88</v>
      </c>
      <c r="F7" s="5">
        <v>550000</v>
      </c>
      <c r="H7" s="25" t="s">
        <v>55</v>
      </c>
      <c r="I7" s="5" cm="1">
        <f t="array" ref="I7">INDEX(TablaL,$A$1,5)</f>
        <v>500000</v>
      </c>
    </row>
    <row r="8" spans="1:9">
      <c r="B8" s="4" t="s">
        <v>74</v>
      </c>
      <c r="C8" t="s">
        <v>75</v>
      </c>
      <c r="D8" t="s">
        <v>92</v>
      </c>
      <c r="E8" t="s">
        <v>88</v>
      </c>
      <c r="F8" s="5">
        <v>450000</v>
      </c>
      <c r="H8" s="32"/>
    </row>
    <row r="9" spans="1:9">
      <c r="B9" s="4" t="s">
        <v>77</v>
      </c>
      <c r="C9" t="s">
        <v>78</v>
      </c>
      <c r="D9" t="s">
        <v>73</v>
      </c>
      <c r="E9" t="s">
        <v>88</v>
      </c>
      <c r="F9" s="5">
        <v>880000</v>
      </c>
    </row>
    <row r="10" spans="1:9">
      <c r="B10" s="4" t="s">
        <v>80</v>
      </c>
      <c r="C10" t="s">
        <v>81</v>
      </c>
      <c r="D10" t="s">
        <v>76</v>
      </c>
      <c r="E10" t="s">
        <v>88</v>
      </c>
      <c r="F10" s="5">
        <v>770000</v>
      </c>
    </row>
    <row r="11" spans="1:9">
      <c r="B11" s="3" t="s">
        <v>82</v>
      </c>
      <c r="C11" s="2" t="s">
        <v>83</v>
      </c>
      <c r="D11" s="2" t="s">
        <v>79</v>
      </c>
      <c r="E11" s="2" t="s">
        <v>88</v>
      </c>
      <c r="F11" s="6">
        <v>650000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List Box 1">
              <controlPr defaultSize="0" autoLine="0" autoPict="0">
                <anchor moveWithCells="1">
                  <from>
                    <xdr:col>9</xdr:col>
                    <xdr:colOff>374650</xdr:colOff>
                    <xdr:row>8</xdr:row>
                    <xdr:rowOff>114300</xdr:rowOff>
                  </from>
                  <to>
                    <xdr:col>11</xdr:col>
                    <xdr:colOff>501650</xdr:colOff>
                    <xdr:row>15</xdr:row>
                    <xdr:rowOff>88900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730A7-94DF-4E74-BC96-AAC29F7533A4}">
  <dimension ref="A3:E25"/>
  <sheetViews>
    <sheetView workbookViewId="0">
      <selection activeCell="B3" sqref="B3"/>
    </sheetView>
  </sheetViews>
  <sheetFormatPr baseColWidth="10" defaultRowHeight="14.5"/>
  <cols>
    <col min="1" max="1" width="26" bestFit="1" customWidth="1"/>
    <col min="2" max="2" width="21.08984375" bestFit="1" customWidth="1"/>
    <col min="3" max="3" width="9" bestFit="1" customWidth="1"/>
    <col min="4" max="4" width="8.90625" bestFit="1" customWidth="1"/>
    <col min="5" max="5" width="11.6328125" bestFit="1" customWidth="1"/>
  </cols>
  <sheetData>
    <row r="3" spans="1:5">
      <c r="A3" s="66" t="s">
        <v>218</v>
      </c>
      <c r="B3" s="66" t="s">
        <v>219</v>
      </c>
    </row>
    <row r="4" spans="1:5">
      <c r="A4" s="66" t="s">
        <v>216</v>
      </c>
      <c r="B4" t="s">
        <v>45</v>
      </c>
      <c r="C4" t="s">
        <v>41</v>
      </c>
      <c r="D4" t="s">
        <v>39</v>
      </c>
      <c r="E4" t="s">
        <v>217</v>
      </c>
    </row>
    <row r="5" spans="1:5">
      <c r="A5" s="32" t="s">
        <v>44</v>
      </c>
      <c r="B5" s="5"/>
      <c r="C5" s="5"/>
      <c r="D5" s="5"/>
      <c r="E5" s="5"/>
    </row>
    <row r="6" spans="1:5">
      <c r="A6" s="68" t="s">
        <v>17</v>
      </c>
      <c r="B6" s="5"/>
      <c r="C6" s="5"/>
      <c r="D6" s="5">
        <v>710000</v>
      </c>
      <c r="E6" s="5">
        <v>710000</v>
      </c>
    </row>
    <row r="7" spans="1:5">
      <c r="A7" s="68" t="s">
        <v>21</v>
      </c>
      <c r="B7" s="5"/>
      <c r="C7" s="5"/>
      <c r="D7" s="5">
        <v>800000</v>
      </c>
      <c r="E7" s="5">
        <v>800000</v>
      </c>
    </row>
    <row r="8" spans="1:5">
      <c r="A8" s="68" t="s">
        <v>23</v>
      </c>
      <c r="B8" s="5"/>
      <c r="C8" s="5"/>
      <c r="D8" s="5">
        <v>528000</v>
      </c>
      <c r="E8" s="5">
        <v>528000</v>
      </c>
    </row>
    <row r="9" spans="1:5">
      <c r="A9" s="68" t="s">
        <v>43</v>
      </c>
      <c r="B9" s="5">
        <v>557000</v>
      </c>
      <c r="C9" s="5"/>
      <c r="D9" s="5"/>
      <c r="E9" s="5">
        <v>557000</v>
      </c>
    </row>
    <row r="10" spans="1:5">
      <c r="A10" s="68" t="s">
        <v>25</v>
      </c>
      <c r="B10" s="5">
        <v>657000</v>
      </c>
      <c r="C10" s="5"/>
      <c r="D10" s="5"/>
      <c r="E10" s="5">
        <v>657000</v>
      </c>
    </row>
    <row r="11" spans="1:5">
      <c r="A11" s="32" t="s">
        <v>220</v>
      </c>
      <c r="B11" s="5">
        <v>1214000</v>
      </c>
      <c r="C11" s="5"/>
      <c r="D11" s="5">
        <v>2038000</v>
      </c>
      <c r="E11" s="5">
        <v>3252000</v>
      </c>
    </row>
    <row r="12" spans="1:5">
      <c r="A12" s="32" t="s">
        <v>47</v>
      </c>
      <c r="B12" s="5"/>
      <c r="C12" s="5"/>
      <c r="D12" s="5"/>
      <c r="E12" s="5"/>
    </row>
    <row r="13" spans="1:5">
      <c r="A13" s="68" t="s">
        <v>117</v>
      </c>
      <c r="B13" s="5"/>
      <c r="C13" s="5"/>
      <c r="D13" s="5">
        <v>800000</v>
      </c>
      <c r="E13" s="5">
        <v>800000</v>
      </c>
    </row>
    <row r="14" spans="1:5">
      <c r="A14" s="32" t="s">
        <v>221</v>
      </c>
      <c r="B14" s="5"/>
      <c r="C14" s="5"/>
      <c r="D14" s="5">
        <v>800000</v>
      </c>
      <c r="E14" s="5">
        <v>800000</v>
      </c>
    </row>
    <row r="15" spans="1:5">
      <c r="A15" s="32" t="s">
        <v>40</v>
      </c>
      <c r="B15" s="5"/>
      <c r="C15" s="5"/>
      <c r="D15" s="5"/>
      <c r="E15" s="5"/>
    </row>
    <row r="16" spans="1:5">
      <c r="A16" s="68" t="s">
        <v>46</v>
      </c>
      <c r="B16" s="5">
        <v>408000</v>
      </c>
      <c r="C16" s="5"/>
      <c r="D16" s="5"/>
      <c r="E16" s="5">
        <v>408000</v>
      </c>
    </row>
    <row r="17" spans="1:5">
      <c r="A17" s="68" t="s">
        <v>99</v>
      </c>
      <c r="B17" s="5"/>
      <c r="C17" s="5">
        <v>470000</v>
      </c>
      <c r="D17" s="5"/>
      <c r="E17" s="5">
        <v>470000</v>
      </c>
    </row>
    <row r="18" spans="1:5">
      <c r="A18" s="68" t="s">
        <v>19</v>
      </c>
      <c r="B18" s="5">
        <v>600000</v>
      </c>
      <c r="C18" s="5"/>
      <c r="D18" s="5"/>
      <c r="E18" s="5">
        <v>600000</v>
      </c>
    </row>
    <row r="19" spans="1:5">
      <c r="A19" s="68" t="s">
        <v>10</v>
      </c>
      <c r="B19" s="5"/>
      <c r="C19" s="5">
        <v>582400</v>
      </c>
      <c r="D19" s="5"/>
      <c r="E19" s="5">
        <v>582400</v>
      </c>
    </row>
    <row r="20" spans="1:5">
      <c r="A20" s="68" t="s">
        <v>13</v>
      </c>
      <c r="B20" s="5"/>
      <c r="C20" s="5"/>
      <c r="D20" s="5">
        <v>466000</v>
      </c>
      <c r="E20" s="5">
        <v>466000</v>
      </c>
    </row>
    <row r="21" spans="1:5">
      <c r="A21" s="32" t="s">
        <v>222</v>
      </c>
      <c r="B21" s="5">
        <v>1008000</v>
      </c>
      <c r="C21" s="5">
        <v>1052400</v>
      </c>
      <c r="D21" s="5">
        <v>466000</v>
      </c>
      <c r="E21" s="5">
        <v>2526400</v>
      </c>
    </row>
    <row r="22" spans="1:5">
      <c r="A22" s="32" t="s">
        <v>38</v>
      </c>
      <c r="B22" s="5"/>
      <c r="C22" s="5"/>
      <c r="D22" s="5"/>
      <c r="E22" s="5"/>
    </row>
    <row r="23" spans="1:5">
      <c r="A23" s="68" t="s">
        <v>15</v>
      </c>
      <c r="B23" s="5"/>
      <c r="C23" s="5"/>
      <c r="D23" s="5">
        <v>464000</v>
      </c>
      <c r="E23" s="5">
        <v>464000</v>
      </c>
    </row>
    <row r="24" spans="1:5">
      <c r="A24" s="32" t="s">
        <v>223</v>
      </c>
      <c r="B24" s="5"/>
      <c r="C24" s="5"/>
      <c r="D24" s="5">
        <v>464000</v>
      </c>
      <c r="E24" s="5">
        <v>464000</v>
      </c>
    </row>
    <row r="25" spans="1:5">
      <c r="A25" s="32" t="s">
        <v>217</v>
      </c>
      <c r="B25" s="5">
        <v>2222000</v>
      </c>
      <c r="C25" s="5">
        <v>1052400</v>
      </c>
      <c r="D25" s="5">
        <v>3768000</v>
      </c>
      <c r="E25" s="5">
        <v>7042400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5</vt:i4>
      </vt:variant>
    </vt:vector>
  </HeadingPairs>
  <TitlesOfParts>
    <vt:vector size="29" baseType="lpstr">
      <vt:lpstr>Tabla</vt:lpstr>
      <vt:lpstr>BuscarV</vt:lpstr>
      <vt:lpstr>BuscarH</vt:lpstr>
      <vt:lpstr>BuscarX</vt:lpstr>
      <vt:lpstr>Indice</vt:lpstr>
      <vt:lpstr>Indice Coincidir</vt:lpstr>
      <vt:lpstr>Cuadro Combinado</vt:lpstr>
      <vt:lpstr>Cuadro Lista</vt:lpstr>
      <vt:lpstr>Dinamica Uno</vt:lpstr>
      <vt:lpstr>Dinamica Dos</vt:lpstr>
      <vt:lpstr>Dinamica Tres</vt:lpstr>
      <vt:lpstr>Tablas Dinamicas</vt:lpstr>
      <vt:lpstr>Dinamica Formato Tabla</vt:lpstr>
      <vt:lpstr>Formato de Tabla</vt:lpstr>
      <vt:lpstr>Dinamica Tabla Relacionada</vt:lpstr>
      <vt:lpstr>Tablas Relacionadas</vt:lpstr>
      <vt:lpstr>Contar Sumar SI</vt:lpstr>
      <vt:lpstr>Ejercicio Contar Sumar SI</vt:lpstr>
      <vt:lpstr>Sumar SI Grafico</vt:lpstr>
      <vt:lpstr>Contar-Sumar Si Conjunto</vt:lpstr>
      <vt:lpstr>Funcion Logica SI</vt:lpstr>
      <vt:lpstr>SI Anidado</vt:lpstr>
      <vt:lpstr>Si Anidaddo Ad. Nombre</vt:lpstr>
      <vt:lpstr>Parametros</vt:lpstr>
      <vt:lpstr>NOM</vt:lpstr>
      <vt:lpstr>RutF</vt:lpstr>
      <vt:lpstr>TablaC</vt:lpstr>
      <vt:lpstr>TablaF</vt:lpstr>
      <vt:lpstr>TablaL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Beltrand</dc:creator>
  <cp:lastModifiedBy>Juan Carlos Beltrand</cp:lastModifiedBy>
  <dcterms:created xsi:type="dcterms:W3CDTF">2023-11-15T14:03:17Z</dcterms:created>
  <dcterms:modified xsi:type="dcterms:W3CDTF">2024-02-06T21:57:10Z</dcterms:modified>
</cp:coreProperties>
</file>